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530"/>
  <workbookPr defaultThemeVersion="124226"/>
  <mc:AlternateContent xmlns:mc="http://schemas.openxmlformats.org/markup-compatibility/2006">
    <mc:Choice Requires="x15">
      <x15ac:absPath xmlns:x15ac="http://schemas.microsoft.com/office/spreadsheetml/2010/11/ac" url="https://wmedu-my.sharepoint.com/personal/cacorb_wm_edu/Documents/Desktop/"/>
    </mc:Choice>
  </mc:AlternateContent>
  <xr:revisionPtr revIDLastSave="0" documentId="8_{D4988AC2-E045-4CE2-87F9-3EC12CA7E8F6}" xr6:coauthVersionLast="46" xr6:coauthVersionMax="46" xr10:uidLastSave="{00000000-0000-0000-0000-000000000000}"/>
  <bookViews>
    <workbookView xWindow="-120" yWindow="-120" windowWidth="29040" windowHeight="15840" activeTab="1" xr2:uid="{00000000-000D-0000-FFFF-FFFF00000000}"/>
  </bookViews>
  <sheets>
    <sheet name="Budget Prep Guide" sheetId="4" r:id="rId1"/>
    <sheet name="Proposal Budget" sheetId="1" r:id="rId2"/>
    <sheet name="Travel Estimator" sheetId="5" r:id="rId3"/>
    <sheet name="Fringe Worksheet" sheetId="2" r:id="rId4"/>
    <sheet name="Lock this tab" sheetId="3"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7" i="1" l="1"/>
  <c r="D15" i="1" s="1"/>
  <c r="G26" i="1" l="1"/>
  <c r="H11" i="5"/>
  <c r="H13" i="5"/>
  <c r="H14" i="5"/>
  <c r="H15" i="5"/>
  <c r="H16" i="5"/>
  <c r="H17" i="5"/>
  <c r="H18" i="5"/>
  <c r="H21" i="5"/>
  <c r="H22" i="5"/>
  <c r="H23" i="5"/>
  <c r="H24" i="5"/>
  <c r="H25" i="5"/>
  <c r="H26" i="5"/>
  <c r="H29" i="5"/>
  <c r="H30" i="5"/>
  <c r="H31" i="5"/>
  <c r="H32" i="5"/>
  <c r="H33" i="5"/>
  <c r="H34" i="5"/>
  <c r="H37" i="5"/>
  <c r="H38" i="5"/>
  <c r="H39" i="5"/>
  <c r="H40" i="5"/>
  <c r="H41" i="5"/>
  <c r="H42" i="5"/>
  <c r="H5" i="5"/>
  <c r="H6" i="5"/>
  <c r="H7" i="5"/>
  <c r="H8" i="5"/>
  <c r="H9" i="5"/>
  <c r="H10" i="5"/>
  <c r="D16" i="1"/>
  <c r="D26" i="1" s="1"/>
  <c r="G19" i="1"/>
  <c r="J19" i="1" s="1"/>
  <c r="P20" i="1"/>
  <c r="P30" i="1" s="1"/>
  <c r="T31" i="4"/>
  <c r="T29" i="4"/>
  <c r="P56" i="1"/>
  <c r="P55" i="1"/>
  <c r="P57" i="1"/>
  <c r="P58" i="1"/>
  <c r="M58" i="1"/>
  <c r="M57" i="1"/>
  <c r="M56" i="1"/>
  <c r="M55" i="1"/>
  <c r="P21" i="1"/>
  <c r="P31" i="1" s="1"/>
  <c r="M21" i="1"/>
  <c r="M31" i="1" s="1"/>
  <c r="M20" i="1"/>
  <c r="M30" i="1" s="1"/>
  <c r="J21" i="1"/>
  <c r="J31" i="1" s="1"/>
  <c r="J20" i="1"/>
  <c r="J30" i="1" s="1"/>
  <c r="J58" i="1"/>
  <c r="J57" i="1"/>
  <c r="J56" i="1"/>
  <c r="J55" i="1"/>
  <c r="G58" i="1"/>
  <c r="G57" i="1"/>
  <c r="G56" i="1"/>
  <c r="G59" i="1" s="1"/>
  <c r="G55" i="1"/>
  <c r="N63" i="1"/>
  <c r="K63" i="1"/>
  <c r="H63" i="1"/>
  <c r="E63" i="1"/>
  <c r="Q63" i="1"/>
  <c r="D58" i="1"/>
  <c r="S58" i="1" s="1"/>
  <c r="D57" i="1"/>
  <c r="D55" i="1"/>
  <c r="D56" i="1"/>
  <c r="B9" i="2"/>
  <c r="C9" i="2" s="1"/>
  <c r="B10" i="2"/>
  <c r="B4" i="2"/>
  <c r="B6" i="2"/>
  <c r="B5" i="2"/>
  <c r="B8" i="2"/>
  <c r="B7" i="2"/>
  <c r="D21" i="1"/>
  <c r="D20" i="1"/>
  <c r="G20" i="1" s="1"/>
  <c r="D30" i="1"/>
  <c r="D29" i="1"/>
  <c r="D18" i="1"/>
  <c r="D28" i="1" s="1"/>
  <c r="D17" i="1"/>
  <c r="G52" i="1"/>
  <c r="G60" i="1" s="1"/>
  <c r="J38" i="1"/>
  <c r="M38" i="1" s="1"/>
  <c r="G37" i="1"/>
  <c r="J37" i="1" s="1"/>
  <c r="G15" i="1"/>
  <c r="J15" i="1" s="1"/>
  <c r="M15" i="1" s="1"/>
  <c r="J16" i="1"/>
  <c r="J26" i="1" s="1"/>
  <c r="D25" i="1"/>
  <c r="S54" i="1"/>
  <c r="D39" i="1"/>
  <c r="D48" i="1"/>
  <c r="P48" i="1"/>
  <c r="M48" i="1"/>
  <c r="J48" i="1"/>
  <c r="G48" i="1"/>
  <c r="S47" i="1"/>
  <c r="S46" i="1"/>
  <c r="S45" i="1"/>
  <c r="S44" i="1"/>
  <c r="S41" i="1"/>
  <c r="D31" i="1"/>
  <c r="G21" i="1"/>
  <c r="G31" i="1" s="1"/>
  <c r="J51" i="1"/>
  <c r="M51" i="1" s="1"/>
  <c r="D27" i="1"/>
  <c r="G25" i="1" l="1"/>
  <c r="D22" i="1"/>
  <c r="S48" i="1"/>
  <c r="G18" i="1"/>
  <c r="G28" i="1" s="1"/>
  <c r="M59" i="1"/>
  <c r="S21" i="1"/>
  <c r="S56" i="1"/>
  <c r="S55" i="1"/>
  <c r="S57" i="1"/>
  <c r="P59" i="1"/>
  <c r="H35" i="5"/>
  <c r="H19" i="5"/>
  <c r="J59" i="1"/>
  <c r="H43" i="5"/>
  <c r="H27" i="5"/>
  <c r="M16" i="1"/>
  <c r="P16" i="1" s="1"/>
  <c r="P26" i="1" s="1"/>
  <c r="J52" i="1"/>
  <c r="D60" i="1"/>
  <c r="V63" i="1"/>
  <c r="B12" i="2"/>
  <c r="P38" i="1"/>
  <c r="S38" i="1"/>
  <c r="M19" i="1"/>
  <c r="J29" i="1"/>
  <c r="P15" i="1"/>
  <c r="M25" i="1"/>
  <c r="S31" i="1"/>
  <c r="D32" i="1"/>
  <c r="D34" i="1" s="1"/>
  <c r="P51" i="1"/>
  <c r="M37" i="1"/>
  <c r="J39" i="1"/>
  <c r="G30" i="1"/>
  <c r="S30" i="1" s="1"/>
  <c r="S20" i="1"/>
  <c r="S51" i="1"/>
  <c r="G39" i="1"/>
  <c r="J18" i="1"/>
  <c r="M52" i="1"/>
  <c r="P52" i="1" s="1"/>
  <c r="D59" i="1"/>
  <c r="S59" i="1" s="1"/>
  <c r="S15" i="1"/>
  <c r="J60" i="1"/>
  <c r="J25" i="1"/>
  <c r="G17" i="1"/>
  <c r="G29" i="1"/>
  <c r="S16" i="1" l="1"/>
  <c r="M26" i="1"/>
  <c r="S26" i="1" s="1"/>
  <c r="D62" i="1"/>
  <c r="S52" i="1"/>
  <c r="G27" i="1"/>
  <c r="J17" i="1"/>
  <c r="G22" i="1"/>
  <c r="M39" i="1"/>
  <c r="P37" i="1"/>
  <c r="P39" i="1" s="1"/>
  <c r="P60" i="1"/>
  <c r="M60" i="1"/>
  <c r="M29" i="1"/>
  <c r="P19" i="1"/>
  <c r="P29" i="1" s="1"/>
  <c r="P25" i="1"/>
  <c r="M18" i="1"/>
  <c r="J28" i="1"/>
  <c r="S29" i="1" l="1"/>
  <c r="S39" i="1"/>
  <c r="S19" i="1"/>
  <c r="M17" i="1"/>
  <c r="J27" i="1"/>
  <c r="J32" i="1" s="1"/>
  <c r="J22" i="1"/>
  <c r="E64" i="1"/>
  <c r="D66" i="1" s="1"/>
  <c r="S37" i="1"/>
  <c r="S60" i="1"/>
  <c r="G32" i="1"/>
  <c r="G34" i="1" s="1"/>
  <c r="S25" i="1"/>
  <c r="M28" i="1"/>
  <c r="P18" i="1"/>
  <c r="P28" i="1" s="1"/>
  <c r="S28" i="1" l="1"/>
  <c r="S18" i="1"/>
  <c r="G62" i="1"/>
  <c r="M27" i="1"/>
  <c r="P17" i="1"/>
  <c r="M22" i="1"/>
  <c r="D68" i="1"/>
  <c r="J34" i="1"/>
  <c r="J62" i="1" s="1"/>
  <c r="P27" i="1" l="1"/>
  <c r="P32" i="1" s="1"/>
  <c r="P22" i="1"/>
  <c r="S22" i="1" s="1"/>
  <c r="S17" i="1"/>
  <c r="K64" i="1"/>
  <c r="J66" i="1" s="1"/>
  <c r="J68" i="1" s="1"/>
  <c r="M32" i="1"/>
  <c r="H64" i="1"/>
  <c r="G66" i="1" s="1"/>
  <c r="G68" i="1" s="1"/>
  <c r="S32" i="1" l="1"/>
  <c r="P34" i="1"/>
  <c r="P62" i="1" s="1"/>
  <c r="S27" i="1"/>
  <c r="M34" i="1"/>
  <c r="M62" i="1" l="1"/>
  <c r="S34" i="1"/>
  <c r="Q64" i="1"/>
  <c r="P66" i="1" s="1"/>
  <c r="P68" i="1" s="1"/>
  <c r="N64" i="1" l="1"/>
  <c r="M66" i="1" s="1"/>
  <c r="S66" i="1" s="1"/>
  <c r="S62" i="1"/>
  <c r="M68" i="1" l="1"/>
  <c r="S68"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Lawler, Erica M</author>
  </authors>
  <commentList>
    <comment ref="H7" authorId="0" shapeId="0" xr:uid="{00000000-0006-0000-0100-000001000000}">
      <text>
        <r>
          <rPr>
            <b/>
            <sz val="9"/>
            <color indexed="81"/>
            <rFont val="Tahoma"/>
            <family val="2"/>
          </rPr>
          <t>Lawler, Erica M:</t>
        </r>
        <r>
          <rPr>
            <sz val="9"/>
            <color indexed="81"/>
            <rFont val="Tahoma"/>
            <family val="2"/>
          </rPr>
          <t xml:space="preserve">
Enter contract salary</t>
        </r>
      </text>
    </comment>
    <comment ref="I7" authorId="0" shapeId="0" xr:uid="{00000000-0006-0000-0100-000002000000}">
      <text>
        <r>
          <rPr>
            <b/>
            <sz val="9"/>
            <color indexed="81"/>
            <rFont val="Tahoma"/>
            <family val="2"/>
          </rPr>
          <t>Lawler, Erica M:</t>
        </r>
        <r>
          <rPr>
            <sz val="9"/>
            <color indexed="81"/>
            <rFont val="Tahoma"/>
            <family val="2"/>
          </rPr>
          <t xml:space="preserve">
Divide by 9 for ACAD (instructional faculty) or 12 for CAL (research faculty)</t>
        </r>
      </text>
    </comment>
    <comment ref="C15" authorId="0" shapeId="0" xr:uid="{00000000-0006-0000-0100-000003000000}">
      <text>
        <r>
          <rPr>
            <b/>
            <sz val="9"/>
            <color indexed="81"/>
            <rFont val="Tahoma"/>
            <family val="2"/>
          </rPr>
          <t>Lawler, Erica M:</t>
        </r>
        <r>
          <rPr>
            <sz val="9"/>
            <color indexed="81"/>
            <rFont val="Tahoma"/>
            <family val="2"/>
          </rPr>
          <t xml:space="preserve">
PI effort in months
</t>
        </r>
      </text>
    </comment>
    <comment ref="D53" authorId="0" shapeId="0" xr:uid="{00000000-0006-0000-0100-000004000000}">
      <text>
        <r>
          <rPr>
            <b/>
            <sz val="9"/>
            <color indexed="81"/>
            <rFont val="Tahoma"/>
            <family val="2"/>
          </rPr>
          <t>Lawler, Erica M:</t>
        </r>
        <r>
          <rPr>
            <sz val="9"/>
            <color indexed="81"/>
            <rFont val="Tahoma"/>
            <family val="2"/>
          </rPr>
          <t xml:space="preserve">
Enter the amount to be paid to your sub in year one, not the cumulative amount.</t>
        </r>
      </text>
    </comment>
    <comment ref="A55" authorId="0" shapeId="0" xr:uid="{00000000-0006-0000-0100-000005000000}">
      <text>
        <r>
          <rPr>
            <b/>
            <sz val="9"/>
            <color indexed="81"/>
            <rFont val="Tahoma"/>
            <family val="2"/>
          </rPr>
          <t>Lawler, Erica M:</t>
        </r>
        <r>
          <rPr>
            <sz val="9"/>
            <color indexed="81"/>
            <rFont val="Tahoma"/>
            <family val="2"/>
          </rPr>
          <t xml:space="preserve">
714210 can be used for Graduate Scholarships. Both codes are excluded from MTDC F&amp;A calc.</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Lawler, Erica M</author>
  </authors>
  <commentList>
    <comment ref="B11" authorId="0" shapeId="0" xr:uid="{00000000-0006-0000-0300-000001000000}">
      <text>
        <r>
          <rPr>
            <b/>
            <sz val="9"/>
            <color indexed="81"/>
            <rFont val="Tahoma"/>
            <family val="2"/>
          </rPr>
          <t>Lawler, Erica M:</t>
        </r>
        <r>
          <rPr>
            <sz val="9"/>
            <color indexed="81"/>
            <rFont val="Tahoma"/>
            <family val="2"/>
          </rPr>
          <t xml:space="preserve">
Assumption is full match. Enter zero if you know this person does not participate.</t>
        </r>
      </text>
    </comment>
  </commentList>
</comments>
</file>

<file path=xl/sharedStrings.xml><?xml version="1.0" encoding="utf-8"?>
<sst xmlns="http://schemas.openxmlformats.org/spreadsheetml/2006/main" count="232" uniqueCount="183">
  <si>
    <t>Personnel</t>
  </si>
  <si>
    <t>total</t>
  </si>
  <si>
    <t>total direct</t>
  </si>
  <si>
    <t>total other</t>
  </si>
  <si>
    <t>Publication costs</t>
  </si>
  <si>
    <t>PI</t>
  </si>
  <si>
    <t>total part supp</t>
  </si>
  <si>
    <t>total fringe</t>
  </si>
  <si>
    <t>total salary</t>
  </si>
  <si>
    <t>total travel</t>
  </si>
  <si>
    <t>Consultant</t>
  </si>
  <si>
    <t>Faculty</t>
  </si>
  <si>
    <t>Faculty Salary escalator</t>
  </si>
  <si>
    <t>Student Salary escalator</t>
  </si>
  <si>
    <t>Tuition Escalator</t>
  </si>
  <si>
    <t>Health Escalator</t>
  </si>
  <si>
    <t>total t&amp;h&amp;o</t>
  </si>
  <si>
    <t>F&amp;A (indirect)</t>
  </si>
  <si>
    <t>Travel and Other Escalator</t>
  </si>
  <si>
    <t>Student FICA should only be charged for summer effort, unless enrolled part-time in classes.</t>
  </si>
  <si>
    <t>Fringe Assumption: 7.65% for salaries.  Adjustment may be required.</t>
  </si>
  <si>
    <t>Principal Investigator</t>
  </si>
  <si>
    <t>Sponsor</t>
  </si>
  <si>
    <t>Title</t>
  </si>
  <si>
    <t>Award Number</t>
  </si>
  <si>
    <t>Grant Number</t>
  </si>
  <si>
    <t>Acct Code</t>
  </si>
  <si>
    <t>Wage Employee (technician, etc.)</t>
  </si>
  <si>
    <t>Graduate Student</t>
  </si>
  <si>
    <t>Undergraduate Student</t>
  </si>
  <si>
    <t>Subrecipient</t>
  </si>
  <si>
    <t>Graduate Stipend:</t>
  </si>
  <si>
    <t>Grad Tuition:</t>
  </si>
  <si>
    <t>Grad Health:</t>
  </si>
  <si>
    <t>Wage Employee (technician etc.)</t>
  </si>
  <si>
    <t># Students</t>
  </si>
  <si>
    <t>Undergrad:</t>
  </si>
  <si>
    <t>Student Support Level</t>
  </si>
  <si>
    <t>Tuition</t>
  </si>
  <si>
    <t>Graduate Health Insurance</t>
  </si>
  <si>
    <t>Social Security</t>
  </si>
  <si>
    <t>Medicare</t>
  </si>
  <si>
    <t>Group Life</t>
  </si>
  <si>
    <t>COVA Care Single</t>
  </si>
  <si>
    <t>COVA Care Employee +1</t>
  </si>
  <si>
    <t>COVA Care Family</t>
  </si>
  <si>
    <t>COVA High Deduct Single</t>
  </si>
  <si>
    <t>COVA High Deduct Employee +1</t>
  </si>
  <si>
    <t>COVA High Deduct Family</t>
  </si>
  <si>
    <t>None</t>
  </si>
  <si>
    <t>Retiree Ins Credit Premium</t>
  </si>
  <si>
    <t>VRS Rate</t>
  </si>
  <si>
    <t>Retiree Hlth Ins Prem</t>
  </si>
  <si>
    <t>VDSP &amp; Long Trm Disability</t>
  </si>
  <si>
    <t>Teachers Annuity N/A</t>
  </si>
  <si>
    <t>VDSP &amp; Long-term disability</t>
  </si>
  <si>
    <t>Deferred Comp Match</t>
  </si>
  <si>
    <t>Graduate Rec Center Fee</t>
  </si>
  <si>
    <t>Graduate Hlth Center Fee</t>
  </si>
  <si>
    <t>Grad Hlth Ctr Fee</t>
  </si>
  <si>
    <t>Grad Rec Ctr Fee</t>
  </si>
  <si>
    <t>Salary</t>
  </si>
  <si>
    <t>Fringe</t>
  </si>
  <si>
    <t>Total Personnel</t>
  </si>
  <si>
    <t>Travel</t>
  </si>
  <si>
    <t>Domestic</t>
  </si>
  <si>
    <t>Foreign</t>
  </si>
  <si>
    <t>Equipment</t>
  </si>
  <si>
    <t>Participant Support</t>
  </si>
  <si>
    <t>Other Direct Costs</t>
  </si>
  <si>
    <t>Sub-award base for indirect</t>
  </si>
  <si>
    <t>Total base for indirect</t>
  </si>
  <si>
    <t>Facilities &amp; Administrative Costs</t>
  </si>
  <si>
    <t>TOTAL PROJECT BUDGET</t>
  </si>
  <si>
    <t>Individual Fringe Calculation</t>
  </si>
  <si>
    <t>Enter Annual Salary</t>
  </si>
  <si>
    <t>FRINGE RATE SHOULD BE…</t>
  </si>
  <si>
    <t>About this worksheet: This worksheet can help you figure out the fringe rate for individuals on your project.</t>
  </si>
  <si>
    <t>Teachers Annuity rate before 01 July 2011</t>
  </si>
  <si>
    <t>Teachers Annuity rate post 01 July 2011</t>
  </si>
  <si>
    <t>Fringe Items:</t>
  </si>
  <si>
    <t>Leave Blank until funded</t>
  </si>
  <si>
    <t>Workbook assumes Graduate Students are working full-time over the summer.</t>
  </si>
  <si>
    <t>Section A: Personnel</t>
  </si>
  <si>
    <t>amount listed divided by 12.</t>
  </si>
  <si>
    <r>
      <rPr>
        <b/>
        <sz val="10"/>
        <rFont val="Arial"/>
        <family val="2"/>
      </rPr>
      <t>PI Salary</t>
    </r>
    <r>
      <rPr>
        <sz val="10"/>
        <rFont val="Arial"/>
        <family val="2"/>
      </rPr>
      <t xml:space="preserve">- Based on salary amount from NBAJOBS, calculate monthly salary amount. For Academic faculty, it will be the amount listed divided by nine. For research (calendar) faculty, it will be the </t>
    </r>
  </si>
  <si>
    <r>
      <rPr>
        <b/>
        <sz val="10"/>
        <rFont val="Arial"/>
        <family val="2"/>
      </rPr>
      <t>Other faculty</t>
    </r>
    <r>
      <rPr>
        <sz val="10"/>
        <rFont val="Arial"/>
        <family val="2"/>
      </rPr>
      <t>- same calculation as above.</t>
    </r>
  </si>
  <si>
    <r>
      <rPr>
        <b/>
        <sz val="10"/>
        <rFont val="Arial"/>
        <family val="2"/>
      </rPr>
      <t>Wage Employee/Technician-</t>
    </r>
    <r>
      <rPr>
        <sz val="10"/>
        <rFont val="Arial"/>
        <family val="2"/>
      </rPr>
      <t xml:space="preserve"> This includes Post Docs. Please be sure to note in the budget and justification that this is a post-doc position. </t>
    </r>
  </si>
  <si>
    <r>
      <rPr>
        <b/>
        <sz val="10"/>
        <rFont val="Arial"/>
        <family val="2"/>
      </rPr>
      <t>Graduate Student-</t>
    </r>
    <r>
      <rPr>
        <sz val="10"/>
        <rFont val="Arial"/>
        <family val="2"/>
      </rPr>
      <t xml:space="preserve"> This rate is determined by your department. Graduate students may have 1 of 2 effort levels- 50% year-round, or 50% Academic and 100% summer.</t>
    </r>
  </si>
  <si>
    <r>
      <rPr>
        <b/>
        <sz val="10"/>
        <rFont val="Arial"/>
        <family val="2"/>
      </rPr>
      <t>Undergraduate Student</t>
    </r>
    <r>
      <rPr>
        <sz val="10"/>
        <rFont val="Arial"/>
        <family val="2"/>
      </rPr>
      <t>- Minimum wage is $7.25, but your department may pay more than this as the going rate for undergraduate labor. Check with the Chair or Dean.</t>
    </r>
  </si>
  <si>
    <r>
      <t xml:space="preserve">***Course buyout- </t>
    </r>
    <r>
      <rPr>
        <sz val="10"/>
        <rFont val="Arial"/>
        <family val="2"/>
      </rPr>
      <t>Course buyout amounts should appear under the salary category. If a course buyout is requested, your Chair and Dean will likely be involved in determining the amount needed</t>
    </r>
  </si>
  <si>
    <t>to teach your course(s) during your research effort. Course buyouts require special care and consideration, so be sure to determine this well in advance of the proposal deadline.</t>
  </si>
  <si>
    <t>Section B: Fringes</t>
  </si>
  <si>
    <r>
      <t xml:space="preserve">FICA Only- </t>
    </r>
    <r>
      <rPr>
        <sz val="10"/>
        <rFont val="Arial"/>
        <family val="2"/>
      </rPr>
      <t xml:space="preserve">7.65% at this time. This covers Social Security and Medicare. </t>
    </r>
  </si>
  <si>
    <r>
      <t>Full Benefits-</t>
    </r>
    <r>
      <rPr>
        <sz val="10"/>
        <rFont val="Arial"/>
        <family val="2"/>
      </rPr>
      <t xml:space="preserve"> 40% is the flat rate recommended by the College to cover health insurance, disability insurance, and the other benefits listed on the Fringe Worksheet tab. If you have an entry-level wage</t>
    </r>
  </si>
  <si>
    <t>employee on a project, a higher fringe rate may be needed to cover the cost of benefits. Conversely, highly-compensated research faculty may need a lower rate to cover full benefits. The fringe worksheet in</t>
  </si>
  <si>
    <t xml:space="preserve">this workbook contains a number of drop-down fields to allow you to estime fringe rates on an individual basis. Contact Erica Lawler (emlawler@wm.edu) if you need help using this tab. </t>
  </si>
  <si>
    <t>Fringe Application</t>
  </si>
  <si>
    <t>Academic Year</t>
  </si>
  <si>
    <t>Post Docs &amp; Wage- Full benefits</t>
  </si>
  <si>
    <t>Faculty- Full benefits UNLESS work is considered overload or external paid employment. Then FICA only.</t>
  </si>
  <si>
    <t>Students- No benefits</t>
  </si>
  <si>
    <t>Summer Term</t>
  </si>
  <si>
    <t>Faculty- 12 month faculty: Full benefits UNLESS work is considered overload or external paid employment. Then FICA only.</t>
  </si>
  <si>
    <t>Faculty- 9 month faculty: FICA only</t>
  </si>
  <si>
    <t>Students- FICA only. If a student is enrolled at least half time, then no benefits at all.</t>
  </si>
  <si>
    <t>Section C: Travel</t>
  </si>
  <si>
    <t>Foreign Travel-</t>
  </si>
  <si>
    <t>Domestic Travel-</t>
  </si>
  <si>
    <t>Travel must adhere to both state and federal guidelines. Travel within Virginia is capped at $77 for lodging and $41 for Meals &amp; Incidental expenses. Travel out of state- use GSA rates.</t>
  </si>
  <si>
    <t>Foreign travel typically requires a more detailed cost estimate than does somestic travel. The State Department keeps an updated rate table based on month of travel to a specific destination.</t>
  </si>
  <si>
    <t>Be sure to use this table when coming up with your foreign travel budget. There are requirements pertaining to air carrier when traveling overseas. American carriers must be used unless specific criteria are met.</t>
  </si>
  <si>
    <t>Costs to consider when estimating foreign travel include the standard travel considerations as well as visa fees and possible currency exchange fees. Costs associated with obtaining a passport are not allowable.</t>
  </si>
  <si>
    <t>Section D: Equipment</t>
  </si>
  <si>
    <r>
      <t>Equipment-</t>
    </r>
    <r>
      <rPr>
        <sz val="10"/>
        <rFont val="Arial"/>
        <family val="2"/>
      </rPr>
      <t xml:space="preserve"> The threshold for equipment is now $5,000. Computers are not considered equipment items unless they are part of a larger server or computing system, such as a GPS tagging and tracking device.</t>
    </r>
  </si>
  <si>
    <t>Components that assemble to a value that exceeds $5,000 but individually are valued below the threshold are to be considered part of the equipment category. For example, if you are building a supercapacitor, all parts</t>
  </si>
  <si>
    <t>including copper fittings, gaskets, pumps, etc. may be grouped under the equipment category. If you have a price quote from a vendor that itemizes equipment component costs, this can be used to supplement the budget</t>
  </si>
  <si>
    <t>justification for equipment.</t>
  </si>
  <si>
    <t>Section E: Participant Support Costs</t>
  </si>
  <si>
    <t>Stipends</t>
  </si>
  <si>
    <t>Subsistence</t>
  </si>
  <si>
    <t>Other</t>
  </si>
  <si>
    <t>This category may be used to cover research subjects payments (incentives) for participation in a study. Ex: 20 students will take a survey about study behavior and receive $5 for completion. $100 should be budgeted.</t>
  </si>
  <si>
    <t>This category is generally reserved for proposals that will support the costs of hosting a conference and/or research study incentives.</t>
  </si>
  <si>
    <t>If paying for travel costs so that participants may attend a conference or training session, budget those costs here (ground/air transport, bus tickets, parking vouchers, etc.)</t>
  </si>
  <si>
    <t>If paying for lodging and/or food at a conference, budget those costs here. Ex: 1 week long summer camp for high school students interested in Physics. Put housing and meals here.</t>
  </si>
  <si>
    <t>If paying a third-party entity to recruit participants for a study, such a cost could be put here. Ex: Qualtrix conducts a W&amp;M researcher's survey and receives $3 per person surveyed.</t>
  </si>
  <si>
    <t>Section F: Other Direct Costs</t>
  </si>
  <si>
    <t>Materials &amp; Supplies</t>
  </si>
  <si>
    <t>Publication Costs</t>
  </si>
  <si>
    <t>Sub-recipient</t>
  </si>
  <si>
    <t>Grad Health Ins</t>
  </si>
  <si>
    <t>Health Center</t>
  </si>
  <si>
    <t>Rec Center</t>
  </si>
  <si>
    <t>Consumables and items falling below the $5,000 equipment threshold. Include costs of reference materials in this line item.</t>
  </si>
  <si>
    <t>Posters, handouts for a conference, specialized printing services (creation of maps, brochures, CDs), publication fee for appearing in a journal</t>
  </si>
  <si>
    <t>If you have more than one sub-recipient, please contact OSP to have the worksheet updated so that each lower-tier award is correctly incuded in the F&amp;A calculation</t>
  </si>
  <si>
    <t>as a consultant or sub-award.</t>
  </si>
  <si>
    <t>Tuition for graduate students. Use the table at the top of the worksheet to enter the per student amount of tuition. The worksheet will autopopulate this field based on the # of students indicated for the year.</t>
  </si>
  <si>
    <t>Use the table at the top of the worksheet</t>
  </si>
  <si>
    <t>If your department covers this fee, put the dollar amount in the grad student table</t>
  </si>
  <si>
    <t>Facilities &amp; Administrative Costs (F&amp;A)</t>
  </si>
  <si>
    <t>Our Rate:</t>
  </si>
  <si>
    <t>MTDC = Total direct Costs - tuition, equipment, participant support costs, health and rec center fees, and the value of each sub-award exceeding $25,000. If you have two sub-recipients receiving $30,000 each year for three years,</t>
  </si>
  <si>
    <t>F&amp;A will only be collected on the first $25,000 in expenses on each sub-award.</t>
  </si>
  <si>
    <r>
      <t xml:space="preserve">Deviations from standard rate: </t>
    </r>
    <r>
      <rPr>
        <sz val="10"/>
        <rFont val="Arial"/>
        <family val="2"/>
      </rPr>
      <t>Deviations must be approved by the Vice Provost for research prior to submission. If a funding source limits F&amp;A to 10%, we may elect to apply the revised rate to all direct costs rather than</t>
    </r>
  </si>
  <si>
    <t xml:space="preserve">just MTDC. Work with your grants administrator in cases of rate deviation. Many foundations limit F&amp;A but full F&amp;A must be applied to all federally funded programs unless the RFA or RFP places a specific restriction. </t>
  </si>
  <si>
    <t>Example of federally-funded F&amp;A limited program: NSF REU supplements, US FWS Challenge cost share grants</t>
  </si>
  <si>
    <t>This line is for both consultants and other skilled services, such as a pilot if you are conducting aerial surveys. See our guide on sub-recipients if you aren't sure whether the arrangement qualifies</t>
  </si>
  <si>
    <t>Materials</t>
  </si>
  <si>
    <t>Post Doc</t>
  </si>
  <si>
    <t>Contractual Services</t>
  </si>
  <si>
    <t>The travel estimator below feeds directly into the main proposal budget tab.</t>
  </si>
  <si>
    <t>Year One</t>
  </si>
  <si>
    <t>Domestic Trip 1</t>
  </si>
  <si>
    <t>Domestic Trip 2</t>
  </si>
  <si>
    <t>If you require more than 6 trips per year, please contact OSP.</t>
  </si>
  <si>
    <t>Domestic Trip 3</t>
  </si>
  <si>
    <t>Domestic Trip 4</t>
  </si>
  <si>
    <t>International Trip 1</t>
  </si>
  <si>
    <t>International Trip 2</t>
  </si>
  <si>
    <t>Year One Total Travel</t>
  </si>
  <si>
    <t>Year Two Total Travel</t>
  </si>
  <si>
    <t>Year Three Total Travel</t>
  </si>
  <si>
    <t>Year Four Total Travel</t>
  </si>
  <si>
    <t>Year Five Total Travel</t>
  </si>
  <si>
    <t># Travelers</t>
  </si>
  <si>
    <t># Days</t>
  </si>
  <si>
    <t>M&amp;IE</t>
  </si>
  <si>
    <t>Lodging</t>
  </si>
  <si>
    <t>Airfare</t>
  </si>
  <si>
    <t>Ground Transport</t>
  </si>
  <si>
    <t>Total</t>
  </si>
  <si>
    <t>2021-2022</t>
  </si>
  <si>
    <t>PI Salary</t>
  </si>
  <si>
    <t>PI Mo. Salary</t>
  </si>
  <si>
    <t>Costs to consider when estimating travel include ground and air transportation (don't forget baggage fees), mileage rates if driving (generally 57.5 cents per mile), conference registration, lodging, and M&amp;IE.</t>
  </si>
  <si>
    <t>FOR INFORMATION REGARDING CURRENT TRAVEL REGULATIONS, VISIT: http://www.wm.edu/offices/financialoperations/travel/index.php</t>
  </si>
  <si>
    <t xml:space="preserve">F&amp;A is negotiated on a biennial basis. Our cognizant agency is the Office of Naval Research and is 41.8% of Modified Total Direct Costs. </t>
  </si>
  <si>
    <t>2023-2024</t>
  </si>
  <si>
    <t>2024-2025</t>
  </si>
  <si>
    <t>2025-2026</t>
  </si>
  <si>
    <t>2026-2027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</si>
</sst>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_);[Red]\(&quot;$&quot;#,##0\)"/>
    <numFmt numFmtId="164" formatCode="&quot;$&quot;#,##0.00"/>
    <numFmt numFmtId="165" formatCode="0.000%"/>
    <numFmt numFmtId="166" formatCode="0.0000"/>
    <numFmt numFmtId="167" formatCode="&quot;$&quot;#,##0.0000"/>
  </numFmts>
  <fonts count="13" x14ac:knownFonts="1">
    <font>
      <sz val="10"/>
      <name val="Arial"/>
    </font>
    <font>
      <sz val="8"/>
      <name val="Arial"/>
      <family val="2"/>
    </font>
    <font>
      <b/>
      <sz val="10"/>
      <name val="Arial"/>
      <family val="2"/>
    </font>
    <font>
      <sz val="10"/>
      <name val="Arial"/>
      <family val="2"/>
    </font>
    <font>
      <i/>
      <sz val="10"/>
      <name val="Arial"/>
      <family val="2"/>
    </font>
    <font>
      <b/>
      <sz val="12"/>
      <name val="Arial"/>
      <family val="2"/>
    </font>
    <font>
      <sz val="9"/>
      <color indexed="81"/>
      <name val="Tahoma"/>
      <family val="2"/>
    </font>
    <font>
      <b/>
      <sz val="9"/>
      <color indexed="81"/>
      <name val="Tahoma"/>
      <family val="2"/>
    </font>
    <font>
      <b/>
      <i/>
      <sz val="10"/>
      <name val="Arial"/>
      <family val="2"/>
    </font>
    <font>
      <b/>
      <sz val="11"/>
      <name val="Arial"/>
      <family val="2"/>
    </font>
    <font>
      <i/>
      <sz val="12"/>
      <name val="Arial"/>
      <family val="2"/>
    </font>
    <font>
      <b/>
      <u/>
      <sz val="11"/>
      <name val="Arial"/>
      <family val="2"/>
    </font>
    <font>
      <u/>
      <sz val="10"/>
      <color theme="10"/>
      <name val="Arial"/>
      <family val="2"/>
    </font>
  </fonts>
  <fills count="4">
    <fill>
      <patternFill patternType="none"/>
    </fill>
    <fill>
      <patternFill patternType="gray125"/>
    </fill>
    <fill>
      <patternFill patternType="solid">
        <fgColor theme="8" tint="0.59999389629810485"/>
        <bgColor indexed="64"/>
      </patternFill>
    </fill>
    <fill>
      <patternFill patternType="solid">
        <fgColor theme="0"/>
        <bgColor indexed="64"/>
      </patternFill>
    </fill>
  </fills>
  <borders count="1">
    <border>
      <left/>
      <right/>
      <top/>
      <bottom/>
      <diagonal/>
    </border>
  </borders>
  <cellStyleXfs count="2">
    <xf numFmtId="0" fontId="0" fillId="0" borderId="0"/>
    <xf numFmtId="0" fontId="12" fillId="0" borderId="0" applyNumberFormat="0" applyFill="0" applyBorder="0" applyAlignment="0" applyProtection="0"/>
  </cellStyleXfs>
  <cellXfs count="36">
    <xf numFmtId="0" fontId="0" fillId="0" borderId="0" xfId="0"/>
    <xf numFmtId="0" fontId="2" fillId="0" borderId="0" xfId="0" applyFont="1"/>
    <xf numFmtId="0" fontId="3" fillId="0" borderId="0" xfId="0" applyFont="1"/>
    <xf numFmtId="10" fontId="0" fillId="0" borderId="0" xfId="0" applyNumberFormat="1"/>
    <xf numFmtId="0" fontId="0" fillId="0" borderId="0" xfId="0" applyFill="1"/>
    <xf numFmtId="0" fontId="4" fillId="0" borderId="0" xfId="0" applyFont="1"/>
    <xf numFmtId="0" fontId="2" fillId="0" borderId="0" xfId="0" applyFont="1" applyFill="1"/>
    <xf numFmtId="14" fontId="1" fillId="0" borderId="0" xfId="0" applyNumberFormat="1" applyFont="1"/>
    <xf numFmtId="1" fontId="0" fillId="0" borderId="0" xfId="0" applyNumberFormat="1"/>
    <xf numFmtId="1" fontId="0" fillId="0" borderId="0" xfId="0" applyNumberFormat="1" applyFill="1"/>
    <xf numFmtId="1" fontId="2" fillId="0" borderId="0" xfId="0" applyNumberFormat="1" applyFont="1"/>
    <xf numFmtId="1" fontId="2" fillId="0" borderId="0" xfId="0" applyNumberFormat="1" applyFont="1" applyFill="1"/>
    <xf numFmtId="1" fontId="4" fillId="0" borderId="0" xfId="0" applyNumberFormat="1" applyFont="1"/>
    <xf numFmtId="1" fontId="4" fillId="0" borderId="0" xfId="0" applyNumberFormat="1" applyFont="1" applyFill="1"/>
    <xf numFmtId="0" fontId="5" fillId="0" borderId="0" xfId="0" applyFont="1"/>
    <xf numFmtId="0" fontId="8" fillId="0" borderId="0" xfId="0" applyFont="1"/>
    <xf numFmtId="0" fontId="5" fillId="0" borderId="0" xfId="0" applyNumberFormat="1" applyFont="1"/>
    <xf numFmtId="6" fontId="0" fillId="0" borderId="0" xfId="0" applyNumberFormat="1"/>
    <xf numFmtId="164" fontId="0" fillId="0" borderId="0" xfId="0" applyNumberFormat="1"/>
    <xf numFmtId="0" fontId="0" fillId="0" borderId="0" xfId="0" applyNumberFormat="1"/>
    <xf numFmtId="165" fontId="2" fillId="0" borderId="0" xfId="0" applyNumberFormat="1" applyFont="1"/>
    <xf numFmtId="1" fontId="3" fillId="0" borderId="0" xfId="0" applyNumberFormat="1" applyFont="1" applyFill="1"/>
    <xf numFmtId="1" fontId="0" fillId="2" borderId="0" xfId="0" applyNumberFormat="1" applyFill="1"/>
    <xf numFmtId="1" fontId="2" fillId="2" borderId="0" xfId="0" applyNumberFormat="1" applyFont="1" applyFill="1"/>
    <xf numFmtId="0" fontId="9" fillId="0" borderId="0" xfId="0" applyFont="1"/>
    <xf numFmtId="1" fontId="9" fillId="0" borderId="0" xfId="0" applyNumberFormat="1" applyFont="1"/>
    <xf numFmtId="1" fontId="9" fillId="0" borderId="0" xfId="0" applyNumberFormat="1" applyFont="1" applyFill="1"/>
    <xf numFmtId="166" fontId="0" fillId="0" borderId="0" xfId="0" applyNumberFormat="1"/>
    <xf numFmtId="167" fontId="3" fillId="0" borderId="0" xfId="0" applyNumberFormat="1" applyFont="1"/>
    <xf numFmtId="0" fontId="10" fillId="0" borderId="0" xfId="0" applyNumberFormat="1" applyFont="1"/>
    <xf numFmtId="0" fontId="11" fillId="0" borderId="0" xfId="0" applyFont="1"/>
    <xf numFmtId="0" fontId="12" fillId="0" borderId="0" xfId="1"/>
    <xf numFmtId="0" fontId="3" fillId="3" borderId="0" xfId="0" applyFont="1" applyFill="1"/>
    <xf numFmtId="0" fontId="2" fillId="0" borderId="0" xfId="0" applyFont="1" applyAlignment="1">
      <alignment horizontal="right"/>
    </xf>
    <xf numFmtId="0" fontId="2" fillId="0" borderId="0" xfId="0" applyFont="1" applyAlignment="1">
      <alignment horizontal="center"/>
    </xf>
    <xf numFmtId="0" fontId="4" fillId="0" borderId="0" xfId="0" applyFont="1" applyAlignment="1">
      <alignment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3"/>
  <sheetViews>
    <sheetView topLeftCell="A65" workbookViewId="0">
      <selection activeCell="B59" sqref="B59"/>
    </sheetView>
  </sheetViews>
  <sheetFormatPr defaultRowHeight="12.75" x14ac:dyDescent="0.2"/>
  <cols>
    <col min="1" max="1" width="11.28515625" customWidth="1"/>
  </cols>
  <sheetData>
    <row r="1" spans="1:1" ht="15" x14ac:dyDescent="0.25">
      <c r="A1" s="30" t="s">
        <v>83</v>
      </c>
    </row>
    <row r="2" spans="1:1" x14ac:dyDescent="0.2">
      <c r="A2" s="2" t="s">
        <v>85</v>
      </c>
    </row>
    <row r="3" spans="1:1" x14ac:dyDescent="0.2">
      <c r="A3" s="2" t="s">
        <v>84</v>
      </c>
    </row>
    <row r="4" spans="1:1" x14ac:dyDescent="0.2">
      <c r="A4" s="2" t="s">
        <v>86</v>
      </c>
    </row>
    <row r="5" spans="1:1" x14ac:dyDescent="0.2">
      <c r="A5" s="2" t="s">
        <v>87</v>
      </c>
    </row>
    <row r="6" spans="1:1" x14ac:dyDescent="0.2">
      <c r="A6" s="2" t="s">
        <v>88</v>
      </c>
    </row>
    <row r="7" spans="1:1" x14ac:dyDescent="0.2">
      <c r="A7" s="2" t="s">
        <v>89</v>
      </c>
    </row>
    <row r="8" spans="1:1" x14ac:dyDescent="0.2">
      <c r="A8" s="1" t="s">
        <v>90</v>
      </c>
    </row>
    <row r="9" spans="1:1" x14ac:dyDescent="0.2">
      <c r="A9" s="2" t="s">
        <v>91</v>
      </c>
    </row>
    <row r="11" spans="1:1" ht="15" x14ac:dyDescent="0.25">
      <c r="A11" s="30" t="s">
        <v>92</v>
      </c>
    </row>
    <row r="12" spans="1:1" x14ac:dyDescent="0.2">
      <c r="A12" s="1" t="s">
        <v>93</v>
      </c>
    </row>
    <row r="13" spans="1:1" x14ac:dyDescent="0.2">
      <c r="A13" s="1" t="s">
        <v>94</v>
      </c>
    </row>
    <row r="14" spans="1:1" x14ac:dyDescent="0.2">
      <c r="A14" s="2" t="s">
        <v>95</v>
      </c>
    </row>
    <row r="15" spans="1:1" x14ac:dyDescent="0.2">
      <c r="A15" s="2" t="s">
        <v>96</v>
      </c>
    </row>
    <row r="16" spans="1:1" x14ac:dyDescent="0.2">
      <c r="A16" s="1" t="s">
        <v>97</v>
      </c>
    </row>
    <row r="17" spans="1:20" x14ac:dyDescent="0.2">
      <c r="A17" s="1"/>
      <c r="B17" s="15" t="s">
        <v>98</v>
      </c>
    </row>
    <row r="18" spans="1:20" x14ac:dyDescent="0.2">
      <c r="B18" s="2" t="s">
        <v>100</v>
      </c>
    </row>
    <row r="19" spans="1:20" x14ac:dyDescent="0.2">
      <c r="B19" s="2" t="s">
        <v>99</v>
      </c>
    </row>
    <row r="20" spans="1:20" x14ac:dyDescent="0.2">
      <c r="B20" s="2" t="s">
        <v>101</v>
      </c>
    </row>
    <row r="21" spans="1:20" x14ac:dyDescent="0.2">
      <c r="B21" s="15" t="s">
        <v>102</v>
      </c>
    </row>
    <row r="22" spans="1:20" x14ac:dyDescent="0.2">
      <c r="B22" s="2" t="s">
        <v>103</v>
      </c>
    </row>
    <row r="23" spans="1:20" x14ac:dyDescent="0.2">
      <c r="B23" s="2" t="s">
        <v>104</v>
      </c>
    </row>
    <row r="24" spans="1:20" x14ac:dyDescent="0.2">
      <c r="B24" s="2" t="s">
        <v>99</v>
      </c>
    </row>
    <row r="25" spans="1:20" x14ac:dyDescent="0.2">
      <c r="B25" s="2" t="s">
        <v>105</v>
      </c>
    </row>
    <row r="26" spans="1:20" x14ac:dyDescent="0.2">
      <c r="B26" s="2"/>
    </row>
    <row r="27" spans="1:20" ht="15" x14ac:dyDescent="0.25">
      <c r="A27" s="30" t="s">
        <v>106</v>
      </c>
      <c r="C27" t="s">
        <v>177</v>
      </c>
    </row>
    <row r="28" spans="1:20" x14ac:dyDescent="0.2">
      <c r="A28" s="1" t="s">
        <v>108</v>
      </c>
      <c r="C28" s="2" t="s">
        <v>109</v>
      </c>
    </row>
    <row r="29" spans="1:20" x14ac:dyDescent="0.2">
      <c r="A29" s="2" t="s">
        <v>176</v>
      </c>
      <c r="T29" s="31" t="str">
        <f>HYPERLINK("http://www.gsa.gov/portal/category/21287","GSA per diem Table")</f>
        <v>GSA per diem Table</v>
      </c>
    </row>
    <row r="30" spans="1:20" x14ac:dyDescent="0.2">
      <c r="A30" s="1" t="s">
        <v>107</v>
      </c>
      <c r="C30" s="2" t="s">
        <v>110</v>
      </c>
    </row>
    <row r="31" spans="1:20" x14ac:dyDescent="0.2">
      <c r="A31" s="2" t="s">
        <v>111</v>
      </c>
      <c r="T31" s="31" t="str">
        <f>HYPERLINK("http://aoprals.state.gov/web920/per_diem.asp","Foreign per diem Table")</f>
        <v>Foreign per diem Table</v>
      </c>
    </row>
    <row r="32" spans="1:20" x14ac:dyDescent="0.2">
      <c r="A32" s="2" t="s">
        <v>112</v>
      </c>
    </row>
    <row r="34" spans="1:5" ht="15" x14ac:dyDescent="0.25">
      <c r="A34" s="30" t="s">
        <v>113</v>
      </c>
    </row>
    <row r="35" spans="1:5" x14ac:dyDescent="0.2">
      <c r="A35" s="1" t="s">
        <v>114</v>
      </c>
    </row>
    <row r="36" spans="1:5" x14ac:dyDescent="0.2">
      <c r="A36" s="2" t="s">
        <v>115</v>
      </c>
    </row>
    <row r="37" spans="1:5" x14ac:dyDescent="0.2">
      <c r="A37" s="2" t="s">
        <v>116</v>
      </c>
    </row>
    <row r="38" spans="1:5" x14ac:dyDescent="0.2">
      <c r="A38" s="2" t="s">
        <v>117</v>
      </c>
    </row>
    <row r="40" spans="1:5" ht="15" x14ac:dyDescent="0.25">
      <c r="A40" s="30" t="s">
        <v>118</v>
      </c>
      <c r="E40" s="2" t="s">
        <v>123</v>
      </c>
    </row>
    <row r="41" spans="1:5" x14ac:dyDescent="0.2">
      <c r="A41" s="1" t="s">
        <v>119</v>
      </c>
      <c r="B41" s="2" t="s">
        <v>122</v>
      </c>
    </row>
    <row r="42" spans="1:5" x14ac:dyDescent="0.2">
      <c r="A42" s="1" t="s">
        <v>64</v>
      </c>
      <c r="B42" s="2" t="s">
        <v>124</v>
      </c>
    </row>
    <row r="43" spans="1:5" x14ac:dyDescent="0.2">
      <c r="A43" s="1" t="s">
        <v>120</v>
      </c>
      <c r="B43" s="2" t="s">
        <v>125</v>
      </c>
    </row>
    <row r="44" spans="1:5" x14ac:dyDescent="0.2">
      <c r="A44" s="1" t="s">
        <v>121</v>
      </c>
      <c r="B44" s="2" t="s">
        <v>126</v>
      </c>
    </row>
    <row r="46" spans="1:5" ht="15" x14ac:dyDescent="0.25">
      <c r="A46" s="30" t="s">
        <v>127</v>
      </c>
    </row>
    <row r="47" spans="1:5" x14ac:dyDescent="0.2">
      <c r="A47" s="1" t="s">
        <v>128</v>
      </c>
      <c r="C47" s="2" t="s">
        <v>134</v>
      </c>
    </row>
    <row r="48" spans="1:5" x14ac:dyDescent="0.2">
      <c r="A48" s="1" t="s">
        <v>129</v>
      </c>
      <c r="C48" s="2" t="s">
        <v>135</v>
      </c>
    </row>
    <row r="49" spans="1:3" x14ac:dyDescent="0.2">
      <c r="A49" s="1" t="s">
        <v>130</v>
      </c>
      <c r="C49" s="2" t="s">
        <v>136</v>
      </c>
    </row>
    <row r="50" spans="1:3" x14ac:dyDescent="0.2">
      <c r="A50" s="1" t="s">
        <v>10</v>
      </c>
      <c r="C50" s="2" t="s">
        <v>148</v>
      </c>
    </row>
    <row r="51" spans="1:3" x14ac:dyDescent="0.2">
      <c r="A51" s="1"/>
      <c r="C51" s="2" t="s">
        <v>137</v>
      </c>
    </row>
    <row r="52" spans="1:3" x14ac:dyDescent="0.2">
      <c r="A52" s="1" t="s">
        <v>38</v>
      </c>
      <c r="C52" s="2" t="s">
        <v>138</v>
      </c>
    </row>
    <row r="53" spans="1:3" x14ac:dyDescent="0.2">
      <c r="A53" s="1" t="s">
        <v>131</v>
      </c>
      <c r="C53" s="2" t="s">
        <v>139</v>
      </c>
    </row>
    <row r="54" spans="1:3" x14ac:dyDescent="0.2">
      <c r="A54" s="1" t="s">
        <v>132</v>
      </c>
      <c r="C54" s="2" t="s">
        <v>140</v>
      </c>
    </row>
    <row r="55" spans="1:3" x14ac:dyDescent="0.2">
      <c r="A55" s="1" t="s">
        <v>133</v>
      </c>
      <c r="C55" s="2" t="s">
        <v>140</v>
      </c>
    </row>
    <row r="57" spans="1:3" ht="15" x14ac:dyDescent="0.25">
      <c r="A57" s="30" t="s">
        <v>141</v>
      </c>
    </row>
    <row r="58" spans="1:3" x14ac:dyDescent="0.2">
      <c r="A58" s="1" t="s">
        <v>142</v>
      </c>
      <c r="B58" s="2" t="s">
        <v>178</v>
      </c>
    </row>
    <row r="59" spans="1:3" x14ac:dyDescent="0.2">
      <c r="A59" s="2" t="s">
        <v>143</v>
      </c>
    </row>
    <row r="60" spans="1:3" x14ac:dyDescent="0.2">
      <c r="A60" s="2" t="s">
        <v>144</v>
      </c>
    </row>
    <row r="61" spans="1:3" x14ac:dyDescent="0.2">
      <c r="A61" s="1" t="s">
        <v>145</v>
      </c>
    </row>
    <row r="62" spans="1:3" x14ac:dyDescent="0.2">
      <c r="A62" s="2" t="s">
        <v>146</v>
      </c>
    </row>
    <row r="63" spans="1:3" x14ac:dyDescent="0.2">
      <c r="A63" s="2" t="s">
        <v>147</v>
      </c>
    </row>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P68"/>
  <sheetViews>
    <sheetView tabSelected="1" zoomScale="90" zoomScaleNormal="90" workbookViewId="0">
      <pane ySplit="11" topLeftCell="A42" activePane="bottomLeft" state="frozen"/>
      <selection pane="bottomLeft" activeCell="R49" sqref="R49"/>
    </sheetView>
  </sheetViews>
  <sheetFormatPr defaultRowHeight="12.75" x14ac:dyDescent="0.2"/>
  <cols>
    <col min="1" max="1" width="10.28515625" bestFit="1" customWidth="1"/>
    <col min="2" max="2" width="25.42578125" bestFit="1" customWidth="1"/>
    <col min="14" max="14" width="17" bestFit="1" customWidth="1"/>
  </cols>
  <sheetData>
    <row r="1" spans="1:20" x14ac:dyDescent="0.2">
      <c r="C1" s="3">
        <v>1.03</v>
      </c>
      <c r="D1" t="s">
        <v>12</v>
      </c>
      <c r="G1" t="s">
        <v>20</v>
      </c>
    </row>
    <row r="2" spans="1:20" x14ac:dyDescent="0.2">
      <c r="C2" s="3">
        <v>1.03</v>
      </c>
      <c r="D2" t="s">
        <v>13</v>
      </c>
      <c r="G2" t="s">
        <v>19</v>
      </c>
    </row>
    <row r="3" spans="1:20" x14ac:dyDescent="0.2">
      <c r="C3" s="3">
        <v>1.0980000000000001</v>
      </c>
      <c r="D3" t="s">
        <v>14</v>
      </c>
      <c r="G3" s="1" t="s">
        <v>82</v>
      </c>
      <c r="K3" s="2"/>
    </row>
    <row r="4" spans="1:20" x14ac:dyDescent="0.2">
      <c r="C4" s="3">
        <v>1.05</v>
      </c>
      <c r="D4" t="s">
        <v>15</v>
      </c>
      <c r="G4" s="3">
        <v>0.44</v>
      </c>
      <c r="H4" t="s">
        <v>17</v>
      </c>
      <c r="J4" s="1"/>
      <c r="K4" s="2"/>
    </row>
    <row r="5" spans="1:20" x14ac:dyDescent="0.2">
      <c r="C5" s="3">
        <v>1.03</v>
      </c>
      <c r="D5" t="s">
        <v>18</v>
      </c>
      <c r="J5" s="7"/>
      <c r="K5" s="2"/>
    </row>
    <row r="6" spans="1:20" ht="15.75" x14ac:dyDescent="0.25">
      <c r="B6" s="14" t="s">
        <v>21</v>
      </c>
      <c r="C6" s="16"/>
      <c r="H6" s="15" t="s">
        <v>174</v>
      </c>
      <c r="I6" s="15" t="s">
        <v>175</v>
      </c>
      <c r="J6" s="7"/>
      <c r="K6" s="15" t="s">
        <v>37</v>
      </c>
    </row>
    <row r="7" spans="1:20" ht="15.75" x14ac:dyDescent="0.25">
      <c r="B7" s="14" t="s">
        <v>22</v>
      </c>
      <c r="C7" s="16"/>
      <c r="H7" s="17">
        <v>0</v>
      </c>
      <c r="I7" s="17">
        <f>H7/9</f>
        <v>0</v>
      </c>
      <c r="J7" s="7"/>
      <c r="K7" s="5" t="s">
        <v>31</v>
      </c>
      <c r="L7" s="5"/>
      <c r="M7" s="5">
        <v>0</v>
      </c>
      <c r="N7" s="5" t="s">
        <v>36</v>
      </c>
      <c r="O7" s="5">
        <v>0</v>
      </c>
    </row>
    <row r="8" spans="1:20" ht="15.75" x14ac:dyDescent="0.25">
      <c r="B8" s="14" t="s">
        <v>23</v>
      </c>
      <c r="C8" s="16"/>
      <c r="J8" s="7"/>
      <c r="K8" s="5" t="s">
        <v>32</v>
      </c>
      <c r="L8" s="5"/>
      <c r="M8" s="5">
        <v>0</v>
      </c>
      <c r="N8" s="5" t="s">
        <v>59</v>
      </c>
      <c r="O8" s="5">
        <v>0</v>
      </c>
    </row>
    <row r="9" spans="1:20" ht="15.75" x14ac:dyDescent="0.25">
      <c r="B9" s="14" t="s">
        <v>24</v>
      </c>
      <c r="C9" s="29" t="s">
        <v>81</v>
      </c>
      <c r="J9" s="7"/>
      <c r="K9" s="5" t="s">
        <v>33</v>
      </c>
      <c r="L9" s="5"/>
      <c r="M9" s="5">
        <v>0</v>
      </c>
      <c r="N9" s="5" t="s">
        <v>60</v>
      </c>
      <c r="O9" s="5">
        <v>0</v>
      </c>
    </row>
    <row r="10" spans="1:20" ht="15.75" x14ac:dyDescent="0.25">
      <c r="B10" s="14" t="s">
        <v>25</v>
      </c>
      <c r="C10" s="29" t="s">
        <v>81</v>
      </c>
    </row>
    <row r="11" spans="1:20" x14ac:dyDescent="0.2">
      <c r="A11" s="1" t="s">
        <v>26</v>
      </c>
      <c r="D11" s="1" t="s">
        <v>173</v>
      </c>
      <c r="E11" s="1"/>
      <c r="F11" s="6"/>
      <c r="G11" s="1" t="s">
        <v>179</v>
      </c>
      <c r="H11" s="1"/>
      <c r="I11" s="1"/>
      <c r="J11" s="1" t="s">
        <v>180</v>
      </c>
      <c r="K11" s="1"/>
      <c r="L11" s="1"/>
      <c r="M11" s="1" t="s">
        <v>181</v>
      </c>
      <c r="N11" s="1"/>
      <c r="O11" s="1"/>
      <c r="P11" s="1" t="s">
        <v>182</v>
      </c>
      <c r="Q11" s="1"/>
      <c r="R11" s="1"/>
      <c r="S11" s="1" t="s">
        <v>1</v>
      </c>
    </row>
    <row r="12" spans="1:20" x14ac:dyDescent="0.2">
      <c r="F12" s="4"/>
    </row>
    <row r="13" spans="1:20" x14ac:dyDescent="0.2">
      <c r="B13" s="1" t="s">
        <v>0</v>
      </c>
      <c r="F13" s="4"/>
    </row>
    <row r="14" spans="1:20" x14ac:dyDescent="0.2">
      <c r="B14" s="1" t="s">
        <v>61</v>
      </c>
      <c r="C14" s="2" t="s">
        <v>35</v>
      </c>
      <c r="F14" s="4"/>
    </row>
    <row r="15" spans="1:20" x14ac:dyDescent="0.2">
      <c r="A15">
        <v>611200</v>
      </c>
      <c r="B15" t="s">
        <v>5</v>
      </c>
      <c r="D15" s="9">
        <f>C15*I7</f>
        <v>0</v>
      </c>
      <c r="E15" s="9"/>
      <c r="F15" s="9"/>
      <c r="G15" s="9">
        <f>ROUND((D15*C1),0)</f>
        <v>0</v>
      </c>
      <c r="H15" s="9"/>
      <c r="I15" s="9"/>
      <c r="J15" s="9">
        <f>ROUND((G15*C1),0)</f>
        <v>0</v>
      </c>
      <c r="K15" s="9"/>
      <c r="L15" s="9"/>
      <c r="M15" s="9">
        <f>ROUND((J15*C1),0)</f>
        <v>0</v>
      </c>
      <c r="N15" s="9"/>
      <c r="O15" s="9"/>
      <c r="P15" s="9">
        <f>ROUND((M15*C1),0)</f>
        <v>0</v>
      </c>
      <c r="Q15" s="9"/>
      <c r="R15" s="9"/>
      <c r="S15" s="9">
        <f t="shared" ref="S15:S22" si="0">SUM(D15,G15,J15,M15,P15)</f>
        <v>0</v>
      </c>
      <c r="T15" s="8"/>
    </row>
    <row r="16" spans="1:20" x14ac:dyDescent="0.2">
      <c r="A16">
        <v>611200</v>
      </c>
      <c r="B16" t="s">
        <v>150</v>
      </c>
      <c r="C16">
        <v>0</v>
      </c>
      <c r="D16" s="9">
        <f>C16*H7</f>
        <v>0</v>
      </c>
      <c r="E16" s="9"/>
      <c r="F16" s="9"/>
      <c r="G16" s="9">
        <v>0</v>
      </c>
      <c r="H16" s="9"/>
      <c r="I16" s="9"/>
      <c r="J16" s="9">
        <f>ROUND((G16*C1),0)</f>
        <v>0</v>
      </c>
      <c r="K16" s="9"/>
      <c r="L16" s="9"/>
      <c r="M16" s="9">
        <f>ROUND((J16*C1),0)</f>
        <v>0</v>
      </c>
      <c r="N16" s="9"/>
      <c r="O16" s="9"/>
      <c r="P16" s="9">
        <f>ROUND((M16*C1),0)</f>
        <v>0</v>
      </c>
      <c r="Q16" s="9"/>
      <c r="R16" s="9"/>
      <c r="S16" s="9">
        <f t="shared" si="0"/>
        <v>0</v>
      </c>
      <c r="T16" s="8"/>
    </row>
    <row r="17" spans="1:20" x14ac:dyDescent="0.2">
      <c r="A17">
        <v>611200</v>
      </c>
      <c r="B17" t="s">
        <v>11</v>
      </c>
      <c r="D17" s="9">
        <f>C17*2/9</f>
        <v>0</v>
      </c>
      <c r="E17" s="9"/>
      <c r="F17" s="9"/>
      <c r="G17" s="9">
        <f>ROUND((D17*C1),0)</f>
        <v>0</v>
      </c>
      <c r="H17" s="9"/>
      <c r="I17" s="9"/>
      <c r="J17" s="9">
        <f>ROUND((G17*C1),0)</f>
        <v>0</v>
      </c>
      <c r="K17" s="9"/>
      <c r="L17" s="9"/>
      <c r="M17" s="9">
        <f>ROUND((J17*C1),0)</f>
        <v>0</v>
      </c>
      <c r="N17" s="9"/>
      <c r="O17" s="9"/>
      <c r="P17" s="9">
        <f>ROUND((M17*C1),0)</f>
        <v>0</v>
      </c>
      <c r="Q17" s="9"/>
      <c r="R17" s="9"/>
      <c r="S17" s="9">
        <f t="shared" si="0"/>
        <v>0</v>
      </c>
      <c r="T17" s="8"/>
    </row>
    <row r="18" spans="1:20" x14ac:dyDescent="0.2">
      <c r="A18">
        <v>611200</v>
      </c>
      <c r="B18" t="s">
        <v>11</v>
      </c>
      <c r="D18" s="9">
        <f>C18*2/9</f>
        <v>0</v>
      </c>
      <c r="E18" s="9"/>
      <c r="F18" s="9"/>
      <c r="G18" s="9">
        <f>ROUND((D18*C1),0)</f>
        <v>0</v>
      </c>
      <c r="H18" s="9"/>
      <c r="I18" s="9"/>
      <c r="J18" s="9">
        <f>ROUND((G18*C1),0)</f>
        <v>0</v>
      </c>
      <c r="K18" s="9"/>
      <c r="L18" s="9"/>
      <c r="M18" s="9">
        <f>ROUND((J18*C1),0)</f>
        <v>0</v>
      </c>
      <c r="N18" s="9"/>
      <c r="O18" s="9"/>
      <c r="P18" s="9">
        <f>ROUND((M18*C1),0)</f>
        <v>0</v>
      </c>
      <c r="Q18" s="9"/>
      <c r="R18" s="9"/>
      <c r="S18" s="9">
        <f t="shared" si="0"/>
        <v>0</v>
      </c>
      <c r="T18" s="8"/>
    </row>
    <row r="19" spans="1:20" x14ac:dyDescent="0.2">
      <c r="A19">
        <v>611410</v>
      </c>
      <c r="B19" s="2" t="s">
        <v>27</v>
      </c>
      <c r="D19" s="9">
        <v>0</v>
      </c>
      <c r="E19" s="9"/>
      <c r="F19" s="9"/>
      <c r="G19" s="9">
        <f>ROUND((D19*C1),0)</f>
        <v>0</v>
      </c>
      <c r="H19" s="9"/>
      <c r="I19" s="9"/>
      <c r="J19" s="9">
        <f>ROUND((G19*C1),0)</f>
        <v>0</v>
      </c>
      <c r="K19" s="9"/>
      <c r="L19" s="9"/>
      <c r="M19" s="9">
        <f>ROUND((J19*C1),0)</f>
        <v>0</v>
      </c>
      <c r="N19" s="9"/>
      <c r="O19" s="9"/>
      <c r="P19" s="9">
        <f>ROUND((M19*C1),0)</f>
        <v>0</v>
      </c>
      <c r="Q19" s="9"/>
      <c r="R19" s="9"/>
      <c r="S19" s="9">
        <f>SUM(D19,G19,J19,M19,P19)</f>
        <v>0</v>
      </c>
      <c r="T19" s="8"/>
    </row>
    <row r="20" spans="1:20" x14ac:dyDescent="0.2">
      <c r="A20">
        <v>611441</v>
      </c>
      <c r="B20" s="2" t="s">
        <v>28</v>
      </c>
      <c r="C20">
        <v>0</v>
      </c>
      <c r="D20" s="9">
        <f>C20*M7</f>
        <v>0</v>
      </c>
      <c r="E20" s="9"/>
      <c r="F20" s="9">
        <v>0</v>
      </c>
      <c r="G20" s="9">
        <f>ROUND((D20*C2),0)</f>
        <v>0</v>
      </c>
      <c r="H20" s="9"/>
      <c r="I20" s="9">
        <v>0</v>
      </c>
      <c r="J20" s="9">
        <f>ROUND((I20*M7*C2*C2),0)</f>
        <v>0</v>
      </c>
      <c r="K20" s="9"/>
      <c r="L20" s="9">
        <v>0</v>
      </c>
      <c r="M20" s="9">
        <f>ROUND((L20*M7*C2*C2*C2),0)</f>
        <v>0</v>
      </c>
      <c r="N20" s="9"/>
      <c r="O20" s="9">
        <v>0</v>
      </c>
      <c r="P20" s="9">
        <f>ROUND((O20*M7*C2*C2*C2*C2),0)</f>
        <v>0</v>
      </c>
      <c r="Q20" s="9"/>
      <c r="R20" s="9"/>
      <c r="S20" s="9">
        <f t="shared" si="0"/>
        <v>0</v>
      </c>
      <c r="T20" s="8"/>
    </row>
    <row r="21" spans="1:20" x14ac:dyDescent="0.2">
      <c r="A21">
        <v>611440</v>
      </c>
      <c r="B21" s="2" t="s">
        <v>29</v>
      </c>
      <c r="C21">
        <v>0</v>
      </c>
      <c r="D21" s="9">
        <f>C21*O7</f>
        <v>0</v>
      </c>
      <c r="E21" s="9"/>
      <c r="F21" s="9">
        <v>0</v>
      </c>
      <c r="G21" s="9">
        <f>ROUND((D21*C2),0)</f>
        <v>0</v>
      </c>
      <c r="H21" s="9"/>
      <c r="I21" s="9">
        <v>0</v>
      </c>
      <c r="J21" s="9">
        <f>ROUND((I21*O7*C2*C2),0)</f>
        <v>0</v>
      </c>
      <c r="K21" s="9"/>
      <c r="L21" s="9">
        <v>0</v>
      </c>
      <c r="M21" s="9">
        <f>ROUND((L21*O7*C2*C2*C2),0)</f>
        <v>0</v>
      </c>
      <c r="N21" s="9"/>
      <c r="O21" s="9">
        <v>0</v>
      </c>
      <c r="P21" s="9">
        <f>ROUND((O20*O7*C2*C2*C2*C2),0)</f>
        <v>0</v>
      </c>
      <c r="Q21" s="9"/>
      <c r="R21" s="9"/>
      <c r="S21" s="9">
        <f t="shared" si="0"/>
        <v>0</v>
      </c>
      <c r="T21" s="8"/>
    </row>
    <row r="22" spans="1:20" x14ac:dyDescent="0.2">
      <c r="B22" s="1" t="s">
        <v>8</v>
      </c>
      <c r="C22" s="1"/>
      <c r="D22" s="11">
        <f>SUM(D15:D21)</f>
        <v>0</v>
      </c>
      <c r="E22" s="11"/>
      <c r="F22" s="11"/>
      <c r="G22" s="11">
        <f>SUM(G15:G21)</f>
        <v>0</v>
      </c>
      <c r="H22" s="11"/>
      <c r="I22" s="11"/>
      <c r="J22" s="11">
        <f>SUM(J15:J21)</f>
        <v>0</v>
      </c>
      <c r="K22" s="11"/>
      <c r="L22" s="11"/>
      <c r="M22" s="11">
        <f>SUM(M15:M21)</f>
        <v>0</v>
      </c>
      <c r="N22" s="11"/>
      <c r="O22" s="11"/>
      <c r="P22" s="11">
        <f>SUM(P15:P21)</f>
        <v>0</v>
      </c>
      <c r="Q22" s="11"/>
      <c r="R22" s="11"/>
      <c r="S22" s="11">
        <f t="shared" si="0"/>
        <v>0</v>
      </c>
      <c r="T22" s="8"/>
    </row>
    <row r="23" spans="1:20" x14ac:dyDescent="0.2">
      <c r="D23" s="9"/>
      <c r="E23" s="9"/>
      <c r="F23" s="9"/>
      <c r="G23" s="9"/>
      <c r="H23" s="9"/>
      <c r="I23" s="9"/>
      <c r="J23" s="9"/>
      <c r="K23" s="9"/>
      <c r="L23" s="9"/>
      <c r="M23" s="9"/>
      <c r="N23" s="9"/>
      <c r="O23" s="9"/>
      <c r="P23" s="9"/>
      <c r="Q23" s="9"/>
      <c r="R23" s="9"/>
      <c r="S23" s="9"/>
      <c r="T23" s="8"/>
    </row>
    <row r="24" spans="1:20" x14ac:dyDescent="0.2">
      <c r="B24" s="1" t="s">
        <v>62</v>
      </c>
      <c r="D24" s="9"/>
      <c r="E24" s="9"/>
      <c r="F24" s="9"/>
      <c r="G24" s="9"/>
      <c r="H24" s="9"/>
      <c r="I24" s="9"/>
      <c r="J24" s="9"/>
      <c r="K24" s="9"/>
      <c r="L24" s="9"/>
      <c r="M24" s="9"/>
      <c r="N24" s="9"/>
      <c r="O24" s="9"/>
      <c r="P24" s="9"/>
      <c r="Q24" s="9"/>
      <c r="R24" s="9"/>
      <c r="S24" s="9"/>
      <c r="T24" s="8"/>
    </row>
    <row r="25" spans="1:20" x14ac:dyDescent="0.2">
      <c r="B25" t="s">
        <v>5</v>
      </c>
      <c r="D25" s="9">
        <f>ROUND((D15*0.0765),0)</f>
        <v>0</v>
      </c>
      <c r="E25" s="9"/>
      <c r="F25" s="9"/>
      <c r="G25" s="9">
        <f>ROUND((G15*0.0765),0)</f>
        <v>0</v>
      </c>
      <c r="H25" s="9"/>
      <c r="I25" s="9"/>
      <c r="J25" s="9">
        <f>ROUND((J15*0.0765),0)</f>
        <v>0</v>
      </c>
      <c r="K25" s="9"/>
      <c r="L25" s="9"/>
      <c r="M25" s="9">
        <f>ROUND((M15*0.0765),0)</f>
        <v>0</v>
      </c>
      <c r="N25" s="9"/>
      <c r="O25" s="9"/>
      <c r="P25" s="9">
        <f>ROUND((P15*0.0765),0)</f>
        <v>0</v>
      </c>
      <c r="Q25" s="9"/>
      <c r="R25" s="9"/>
      <c r="S25" s="9">
        <f t="shared" ref="S25:S68" si="1">SUM(D25,G25,J25,M25,P25)</f>
        <v>0</v>
      </c>
      <c r="T25" s="8"/>
    </row>
    <row r="26" spans="1:20" x14ac:dyDescent="0.2">
      <c r="B26" s="2" t="s">
        <v>150</v>
      </c>
      <c r="D26" s="9">
        <f>ROUND((D16*0.4),0)</f>
        <v>0</v>
      </c>
      <c r="E26" s="9"/>
      <c r="F26" s="9"/>
      <c r="G26" s="9">
        <f>ROUND((G16*0.4),0)</f>
        <v>0</v>
      </c>
      <c r="H26" s="9"/>
      <c r="I26" s="9"/>
      <c r="J26" s="9">
        <f>ROUND((J16*0.4),0)</f>
        <v>0</v>
      </c>
      <c r="K26" s="9"/>
      <c r="L26" s="9"/>
      <c r="M26" s="9">
        <f>ROUND((M16*0.4),0)</f>
        <v>0</v>
      </c>
      <c r="N26" s="9"/>
      <c r="O26" s="9"/>
      <c r="P26" s="9">
        <f>ROUND((P16*0.4),0)</f>
        <v>0</v>
      </c>
      <c r="Q26" s="9"/>
      <c r="R26" s="9"/>
      <c r="S26" s="9">
        <f t="shared" si="1"/>
        <v>0</v>
      </c>
      <c r="T26" s="8"/>
    </row>
    <row r="27" spans="1:20" x14ac:dyDescent="0.2">
      <c r="B27" t="s">
        <v>11</v>
      </c>
      <c r="D27" s="9">
        <f>ROUND((D17*0.0765),0)</f>
        <v>0</v>
      </c>
      <c r="E27" s="9"/>
      <c r="F27" s="9"/>
      <c r="G27" s="9">
        <f>ROUND((G17*0.0765),0)</f>
        <v>0</v>
      </c>
      <c r="H27" s="9"/>
      <c r="I27" s="9"/>
      <c r="J27" s="9">
        <f>ROUND((J17*0.0765),0)</f>
        <v>0</v>
      </c>
      <c r="K27" s="9"/>
      <c r="L27" s="9"/>
      <c r="M27" s="9">
        <f>ROUND((M17*0.0765),0)</f>
        <v>0</v>
      </c>
      <c r="N27" s="9"/>
      <c r="O27" s="9"/>
      <c r="P27" s="9">
        <f>ROUND((P17*0.0765),0)</f>
        <v>0</v>
      </c>
      <c r="Q27" s="9"/>
      <c r="R27" s="9"/>
      <c r="S27" s="9">
        <f t="shared" si="1"/>
        <v>0</v>
      </c>
      <c r="T27" s="8"/>
    </row>
    <row r="28" spans="1:20" x14ac:dyDescent="0.2">
      <c r="B28" t="s">
        <v>11</v>
      </c>
      <c r="D28" s="9">
        <f>ROUND((D18*0.0765),0)</f>
        <v>0</v>
      </c>
      <c r="E28" s="9"/>
      <c r="F28" s="9"/>
      <c r="G28" s="9">
        <f>ROUND((G18*0.0765),0)</f>
        <v>0</v>
      </c>
      <c r="H28" s="9"/>
      <c r="I28" s="9"/>
      <c r="J28" s="9">
        <f>ROUND((J18*0.0765),0)</f>
        <v>0</v>
      </c>
      <c r="K28" s="9"/>
      <c r="L28" s="9"/>
      <c r="M28" s="9">
        <f>ROUND((M18*0.0765),0)</f>
        <v>0</v>
      </c>
      <c r="N28" s="9"/>
      <c r="O28" s="9"/>
      <c r="P28" s="9">
        <f>ROUND((P18*0.0765),0)</f>
        <v>0</v>
      </c>
      <c r="Q28" s="9"/>
      <c r="R28" s="9"/>
      <c r="S28" s="9">
        <f t="shared" si="1"/>
        <v>0</v>
      </c>
      <c r="T28" s="8"/>
    </row>
    <row r="29" spans="1:20" x14ac:dyDescent="0.2">
      <c r="B29" s="2" t="s">
        <v>34</v>
      </c>
      <c r="D29" s="9">
        <f>ROUND((D19*0.0765),0)</f>
        <v>0</v>
      </c>
      <c r="E29" s="9"/>
      <c r="F29" s="9"/>
      <c r="G29" s="9">
        <f>ROUND((G19*0.0765),0)</f>
        <v>0</v>
      </c>
      <c r="H29" s="9"/>
      <c r="I29" s="9"/>
      <c r="J29" s="9">
        <f>ROUND((J19*0.0765),0)</f>
        <v>0</v>
      </c>
      <c r="K29" s="9"/>
      <c r="L29" s="9"/>
      <c r="M29" s="9">
        <f>ROUND((M19*0.0765),0)</f>
        <v>0</v>
      </c>
      <c r="N29" s="9"/>
      <c r="O29" s="9"/>
      <c r="P29" s="9">
        <f>ROUND((P19*0.0765),0)</f>
        <v>0</v>
      </c>
      <c r="Q29" s="9"/>
      <c r="R29" s="9"/>
      <c r="S29" s="9">
        <f t="shared" si="1"/>
        <v>0</v>
      </c>
      <c r="T29" s="8"/>
    </row>
    <row r="30" spans="1:20" x14ac:dyDescent="0.2">
      <c r="B30" s="2" t="s">
        <v>28</v>
      </c>
      <c r="D30" s="9">
        <f>ROUND((D20*0.4*0.0765),0)</f>
        <v>0</v>
      </c>
      <c r="E30" s="9"/>
      <c r="F30" s="9"/>
      <c r="G30" s="9">
        <f>ROUND((G20*0.4*0.0765),0)</f>
        <v>0</v>
      </c>
      <c r="H30" s="9"/>
      <c r="I30" s="9"/>
      <c r="J30" s="9">
        <f>ROUND((J20*0.4*0.0765),0)</f>
        <v>0</v>
      </c>
      <c r="K30" s="9"/>
      <c r="L30" s="9"/>
      <c r="M30" s="9">
        <f>ROUND((M20*0.4*0.0765),0)</f>
        <v>0</v>
      </c>
      <c r="N30" s="9"/>
      <c r="O30" s="9"/>
      <c r="P30" s="9">
        <f>ROUND((P20*0.4*0.0765),0)</f>
        <v>0</v>
      </c>
      <c r="Q30" s="9"/>
      <c r="R30" s="9"/>
      <c r="S30" s="9">
        <f t="shared" si="1"/>
        <v>0</v>
      </c>
      <c r="T30" s="8"/>
    </row>
    <row r="31" spans="1:20" x14ac:dyDescent="0.2">
      <c r="B31" s="2" t="s">
        <v>29</v>
      </c>
      <c r="D31" s="9">
        <f>ROUND((D21*0.0765),0)</f>
        <v>0</v>
      </c>
      <c r="E31" s="9"/>
      <c r="F31" s="9"/>
      <c r="G31" s="9">
        <f>ROUND((G21*0.0765),0)</f>
        <v>0</v>
      </c>
      <c r="H31" s="9"/>
      <c r="I31" s="9"/>
      <c r="J31" s="9">
        <f>ROUND((J21*0.0765),0)</f>
        <v>0</v>
      </c>
      <c r="K31" s="9"/>
      <c r="L31" s="9"/>
      <c r="M31" s="9">
        <f>ROUND((M21*0.0765),0)</f>
        <v>0</v>
      </c>
      <c r="N31" s="9"/>
      <c r="O31" s="9"/>
      <c r="P31" s="9">
        <f>ROUND((P21*0.0765),0)</f>
        <v>0</v>
      </c>
      <c r="Q31" s="9"/>
      <c r="R31" s="9"/>
      <c r="S31" s="9">
        <f t="shared" si="1"/>
        <v>0</v>
      </c>
      <c r="T31" s="8"/>
    </row>
    <row r="32" spans="1:20" x14ac:dyDescent="0.2">
      <c r="A32">
        <v>611100</v>
      </c>
      <c r="B32" s="1" t="s">
        <v>7</v>
      </c>
      <c r="C32" s="1"/>
      <c r="D32" s="11">
        <f>SUM(D25:D31)</f>
        <v>0</v>
      </c>
      <c r="E32" s="11"/>
      <c r="F32" s="11"/>
      <c r="G32" s="11">
        <f>SUM(G25:G31)</f>
        <v>0</v>
      </c>
      <c r="H32" s="11"/>
      <c r="I32" s="11"/>
      <c r="J32" s="11">
        <f>SUM(J25:J31)</f>
        <v>0</v>
      </c>
      <c r="K32" s="11"/>
      <c r="L32" s="11"/>
      <c r="M32" s="11">
        <f>SUM(M25:M31)</f>
        <v>0</v>
      </c>
      <c r="N32" s="11"/>
      <c r="O32" s="11"/>
      <c r="P32" s="11">
        <f>SUM(P25:P31)</f>
        <v>0</v>
      </c>
      <c r="Q32" s="11"/>
      <c r="R32" s="11"/>
      <c r="S32" s="11">
        <f t="shared" si="1"/>
        <v>0</v>
      </c>
      <c r="T32" s="8"/>
    </row>
    <row r="33" spans="1:20" x14ac:dyDescent="0.2">
      <c r="D33" s="9"/>
      <c r="E33" s="9"/>
      <c r="F33" s="9"/>
      <c r="G33" s="9"/>
      <c r="H33" s="9"/>
      <c r="I33" s="9"/>
      <c r="J33" s="9"/>
      <c r="K33" s="9"/>
      <c r="L33" s="9"/>
      <c r="M33" s="9"/>
      <c r="N33" s="9"/>
      <c r="O33" s="9"/>
      <c r="P33" s="9"/>
      <c r="Q33" s="9"/>
      <c r="R33" s="9"/>
      <c r="S33" s="9"/>
      <c r="T33" s="8"/>
    </row>
    <row r="34" spans="1:20" x14ac:dyDescent="0.2">
      <c r="B34" s="1" t="s">
        <v>63</v>
      </c>
      <c r="C34" s="1"/>
      <c r="D34" s="11">
        <f>SUM(D22,D32)</f>
        <v>0</v>
      </c>
      <c r="E34" s="11"/>
      <c r="F34" s="11"/>
      <c r="G34" s="11">
        <f>SUM(G22,G32)</f>
        <v>0</v>
      </c>
      <c r="H34" s="11"/>
      <c r="I34" s="11"/>
      <c r="J34" s="11">
        <f>SUM(J22,J32)</f>
        <v>0</v>
      </c>
      <c r="K34" s="11"/>
      <c r="L34" s="11"/>
      <c r="M34" s="11">
        <f>SUM(M22,M32)</f>
        <v>0</v>
      </c>
      <c r="N34" s="11"/>
      <c r="O34" s="11"/>
      <c r="P34" s="11">
        <f>SUM(P22,P32)</f>
        <v>0</v>
      </c>
      <c r="Q34" s="11"/>
      <c r="R34" s="11"/>
      <c r="S34" s="11">
        <f t="shared" si="1"/>
        <v>0</v>
      </c>
      <c r="T34" s="8"/>
    </row>
    <row r="35" spans="1:20" x14ac:dyDescent="0.2">
      <c r="D35" s="9"/>
      <c r="E35" s="9"/>
      <c r="F35" s="9"/>
      <c r="G35" s="9"/>
      <c r="H35" s="9"/>
      <c r="I35" s="9"/>
      <c r="J35" s="9"/>
      <c r="K35" s="9"/>
      <c r="L35" s="9"/>
      <c r="M35" s="9"/>
      <c r="N35" s="9"/>
      <c r="O35" s="9"/>
      <c r="P35" s="9"/>
      <c r="Q35" s="9"/>
      <c r="R35" s="9"/>
      <c r="S35" s="9"/>
      <c r="T35" s="8"/>
    </row>
    <row r="36" spans="1:20" x14ac:dyDescent="0.2">
      <c r="B36" s="1" t="s">
        <v>64</v>
      </c>
      <c r="D36" s="9"/>
      <c r="E36" s="9"/>
      <c r="F36" s="9"/>
      <c r="G36" s="9"/>
      <c r="H36" s="9"/>
      <c r="I36" s="9"/>
      <c r="J36" s="9"/>
      <c r="K36" s="9"/>
      <c r="L36" s="9"/>
      <c r="M36" s="9"/>
      <c r="N36" s="9"/>
      <c r="O36" s="9"/>
      <c r="P36" s="9"/>
      <c r="Q36" s="9"/>
      <c r="R36" s="9"/>
      <c r="S36" s="9"/>
      <c r="T36" s="8"/>
    </row>
    <row r="37" spans="1:20" x14ac:dyDescent="0.2">
      <c r="B37" s="2" t="s">
        <v>65</v>
      </c>
      <c r="D37" s="9">
        <v>0</v>
      </c>
      <c r="E37" s="9"/>
      <c r="F37" s="9"/>
      <c r="G37" s="9">
        <f>ROUND((D37*$C$5),0)</f>
        <v>0</v>
      </c>
      <c r="H37" s="9"/>
      <c r="I37" s="9"/>
      <c r="J37" s="9">
        <f>ROUND((G37*$C$5),0)</f>
        <v>0</v>
      </c>
      <c r="K37" s="9"/>
      <c r="L37" s="9"/>
      <c r="M37" s="9">
        <f>ROUND((J37*$C$5),0)</f>
        <v>0</v>
      </c>
      <c r="N37" s="9"/>
      <c r="O37" s="9"/>
      <c r="P37" s="9">
        <f>ROUND((M37*$C$5),0)</f>
        <v>0</v>
      </c>
      <c r="Q37" s="9"/>
      <c r="R37" s="9"/>
      <c r="S37" s="21">
        <f t="shared" si="1"/>
        <v>0</v>
      </c>
      <c r="T37" s="8"/>
    </row>
    <row r="38" spans="1:20" x14ac:dyDescent="0.2">
      <c r="B38" s="2" t="s">
        <v>66</v>
      </c>
      <c r="D38" s="9">
        <v>0</v>
      </c>
      <c r="E38" s="9"/>
      <c r="F38" s="9"/>
      <c r="G38" s="9">
        <v>0</v>
      </c>
      <c r="H38" s="9"/>
      <c r="I38" s="9"/>
      <c r="J38" s="9">
        <f>ROUND((G38*$C$5),0)</f>
        <v>0</v>
      </c>
      <c r="K38" s="9"/>
      <c r="L38" s="9"/>
      <c r="M38" s="9">
        <f>ROUND((J38*$C$5),0)</f>
        <v>0</v>
      </c>
      <c r="N38" s="9"/>
      <c r="O38" s="9"/>
      <c r="P38" s="9">
        <f>ROUND((M38*$C$5),0)</f>
        <v>0</v>
      </c>
      <c r="Q38" s="9"/>
      <c r="R38" s="9"/>
      <c r="S38" s="21">
        <f t="shared" si="1"/>
        <v>0</v>
      </c>
      <c r="T38" s="8"/>
    </row>
    <row r="39" spans="1:20" x14ac:dyDescent="0.2">
      <c r="A39">
        <v>712800</v>
      </c>
      <c r="B39" s="1" t="s">
        <v>9</v>
      </c>
      <c r="C39" s="1"/>
      <c r="D39" s="11">
        <f>SUM(D37:D38)</f>
        <v>0</v>
      </c>
      <c r="E39" s="11"/>
      <c r="F39" s="11"/>
      <c r="G39" s="11">
        <f>SUM(G37:G38)</f>
        <v>0</v>
      </c>
      <c r="H39" s="11"/>
      <c r="I39" s="11"/>
      <c r="J39" s="11">
        <f>SUM(J37:J38)</f>
        <v>0</v>
      </c>
      <c r="K39" s="11"/>
      <c r="L39" s="11"/>
      <c r="M39" s="11">
        <f>SUM(M37:M38)</f>
        <v>0</v>
      </c>
      <c r="N39" s="11"/>
      <c r="O39" s="11"/>
      <c r="P39" s="11">
        <f>SUM(P37:P38)</f>
        <v>0</v>
      </c>
      <c r="Q39" s="11"/>
      <c r="R39" s="11"/>
      <c r="S39" s="11">
        <f t="shared" si="1"/>
        <v>0</v>
      </c>
      <c r="T39" s="8"/>
    </row>
    <row r="40" spans="1:20" x14ac:dyDescent="0.2">
      <c r="B40" s="1"/>
      <c r="D40" s="9"/>
      <c r="E40" s="9"/>
      <c r="F40" s="9"/>
      <c r="G40" s="9"/>
      <c r="H40" s="9"/>
      <c r="I40" s="9"/>
      <c r="J40" s="9"/>
      <c r="K40" s="9"/>
      <c r="L40" s="9"/>
      <c r="M40" s="9"/>
      <c r="N40" s="9"/>
      <c r="O40" s="9"/>
      <c r="P40" s="9"/>
      <c r="Q40" s="9"/>
      <c r="R40" s="9"/>
      <c r="S40" s="9"/>
      <c r="T40" s="8"/>
    </row>
    <row r="41" spans="1:20" x14ac:dyDescent="0.2">
      <c r="A41">
        <v>722000</v>
      </c>
      <c r="B41" s="1" t="s">
        <v>67</v>
      </c>
      <c r="D41" s="22">
        <v>0</v>
      </c>
      <c r="E41" s="9"/>
      <c r="F41" s="9"/>
      <c r="G41" s="22">
        <v>0</v>
      </c>
      <c r="H41" s="9"/>
      <c r="I41" s="9"/>
      <c r="J41" s="22">
        <v>0</v>
      </c>
      <c r="K41" s="9"/>
      <c r="L41" s="9"/>
      <c r="M41" s="22">
        <v>0</v>
      </c>
      <c r="N41" s="9"/>
      <c r="O41" s="9"/>
      <c r="P41" s="22">
        <v>0</v>
      </c>
      <c r="Q41" s="9"/>
      <c r="R41" s="9"/>
      <c r="S41" s="22">
        <f t="shared" si="1"/>
        <v>0</v>
      </c>
      <c r="T41" s="8"/>
    </row>
    <row r="42" spans="1:20" x14ac:dyDescent="0.2">
      <c r="D42" s="9"/>
      <c r="E42" s="9"/>
      <c r="F42" s="9"/>
      <c r="G42" s="9"/>
      <c r="H42" s="9"/>
      <c r="I42" s="9"/>
      <c r="J42" s="9"/>
      <c r="K42" s="9"/>
      <c r="L42" s="9"/>
      <c r="M42" s="9"/>
      <c r="N42" s="9"/>
      <c r="O42" s="9"/>
      <c r="P42" s="9"/>
      <c r="Q42" s="9"/>
      <c r="R42" s="9"/>
      <c r="S42" s="9"/>
      <c r="T42" s="8"/>
    </row>
    <row r="43" spans="1:20" x14ac:dyDescent="0.2">
      <c r="B43" s="1" t="s">
        <v>68</v>
      </c>
      <c r="D43" s="9"/>
      <c r="E43" s="9"/>
      <c r="F43" s="9"/>
      <c r="G43" s="9"/>
      <c r="H43" s="9"/>
      <c r="I43" s="9"/>
      <c r="J43" s="9"/>
      <c r="K43" s="9"/>
      <c r="L43" s="9"/>
      <c r="M43" s="9"/>
      <c r="N43" s="9"/>
      <c r="O43" s="9"/>
      <c r="P43" s="9"/>
      <c r="Q43" s="9"/>
      <c r="R43" s="9"/>
      <c r="S43" s="9"/>
      <c r="T43" s="8"/>
    </row>
    <row r="44" spans="1:20" x14ac:dyDescent="0.2">
      <c r="B44" s="32" t="s">
        <v>119</v>
      </c>
      <c r="D44" s="22">
        <v>0</v>
      </c>
      <c r="E44" s="9"/>
      <c r="F44" s="9"/>
      <c r="G44" s="22">
        <v>0</v>
      </c>
      <c r="H44" s="9"/>
      <c r="I44" s="9"/>
      <c r="J44" s="22">
        <v>0</v>
      </c>
      <c r="K44" s="9"/>
      <c r="L44" s="9"/>
      <c r="M44" s="22">
        <v>0</v>
      </c>
      <c r="N44" s="9"/>
      <c r="O44" s="9"/>
      <c r="P44" s="22">
        <v>0</v>
      </c>
      <c r="Q44" s="9"/>
      <c r="R44" s="9"/>
      <c r="S44" s="22">
        <f t="shared" si="1"/>
        <v>0</v>
      </c>
      <c r="T44" s="8"/>
    </row>
    <row r="45" spans="1:20" x14ac:dyDescent="0.2">
      <c r="B45" s="32" t="s">
        <v>64</v>
      </c>
      <c r="D45" s="22">
        <v>0</v>
      </c>
      <c r="E45" s="9"/>
      <c r="F45" s="9"/>
      <c r="G45" s="22">
        <v>0</v>
      </c>
      <c r="H45" s="9"/>
      <c r="I45" s="9"/>
      <c r="J45" s="22">
        <v>0</v>
      </c>
      <c r="K45" s="9"/>
      <c r="L45" s="9"/>
      <c r="M45" s="22">
        <v>0</v>
      </c>
      <c r="N45" s="9"/>
      <c r="O45" s="9"/>
      <c r="P45" s="22">
        <v>0</v>
      </c>
      <c r="Q45" s="9"/>
      <c r="R45" s="9"/>
      <c r="S45" s="22">
        <f t="shared" si="1"/>
        <v>0</v>
      </c>
      <c r="T45" s="8"/>
    </row>
    <row r="46" spans="1:20" x14ac:dyDescent="0.2">
      <c r="B46" s="32" t="s">
        <v>120</v>
      </c>
      <c r="D46" s="22">
        <v>0</v>
      </c>
      <c r="E46" s="9"/>
      <c r="F46" s="9"/>
      <c r="G46" s="22">
        <v>0</v>
      </c>
      <c r="H46" s="9"/>
      <c r="I46" s="9"/>
      <c r="J46" s="22">
        <v>0</v>
      </c>
      <c r="K46" s="9"/>
      <c r="L46" s="9"/>
      <c r="M46" s="22">
        <v>0</v>
      </c>
      <c r="N46" s="9"/>
      <c r="O46" s="9"/>
      <c r="P46" s="22">
        <v>0</v>
      </c>
      <c r="Q46" s="9"/>
      <c r="R46" s="9"/>
      <c r="S46" s="22">
        <f t="shared" si="1"/>
        <v>0</v>
      </c>
      <c r="T46" s="8"/>
    </row>
    <row r="47" spans="1:20" x14ac:dyDescent="0.2">
      <c r="B47" s="2" t="s">
        <v>121</v>
      </c>
      <c r="D47" s="22">
        <v>0</v>
      </c>
      <c r="E47" s="9"/>
      <c r="F47" s="9"/>
      <c r="G47" s="22">
        <v>0</v>
      </c>
      <c r="H47" s="9"/>
      <c r="I47" s="9"/>
      <c r="J47" s="22">
        <v>0</v>
      </c>
      <c r="K47" s="9"/>
      <c r="L47" s="9"/>
      <c r="M47" s="22">
        <v>0</v>
      </c>
      <c r="N47" s="9"/>
      <c r="O47" s="9"/>
      <c r="P47" s="22">
        <v>0</v>
      </c>
      <c r="Q47" s="9"/>
      <c r="R47" s="9"/>
      <c r="S47" s="22">
        <f t="shared" si="1"/>
        <v>0</v>
      </c>
      <c r="T47" s="8"/>
    </row>
    <row r="48" spans="1:20" x14ac:dyDescent="0.2">
      <c r="B48" s="1" t="s">
        <v>6</v>
      </c>
      <c r="C48" s="1"/>
      <c r="D48" s="23">
        <f>SUM(D44:D47)</f>
        <v>0</v>
      </c>
      <c r="E48" s="11"/>
      <c r="F48" s="11"/>
      <c r="G48" s="23">
        <f>SUM(G44:G47)</f>
        <v>0</v>
      </c>
      <c r="H48" s="11"/>
      <c r="I48" s="11"/>
      <c r="J48" s="23">
        <f>SUM(J44:J47)</f>
        <v>0</v>
      </c>
      <c r="K48" s="11"/>
      <c r="L48" s="11"/>
      <c r="M48" s="23">
        <f>SUM(M44:M47)</f>
        <v>0</v>
      </c>
      <c r="N48" s="11"/>
      <c r="O48" s="11"/>
      <c r="P48" s="23">
        <f>SUM(P44:P47)</f>
        <v>0</v>
      </c>
      <c r="Q48" s="11"/>
      <c r="R48" s="11"/>
      <c r="S48" s="23">
        <f t="shared" si="1"/>
        <v>0</v>
      </c>
      <c r="T48" s="8"/>
    </row>
    <row r="49" spans="1:22" x14ac:dyDescent="0.2">
      <c r="D49" s="9"/>
      <c r="E49" s="9"/>
      <c r="F49" s="9"/>
      <c r="G49" s="9"/>
      <c r="H49" s="9"/>
      <c r="I49" s="9"/>
      <c r="J49" s="9"/>
      <c r="K49" s="9"/>
      <c r="L49" s="9"/>
      <c r="M49" s="9"/>
      <c r="N49" s="9"/>
      <c r="O49" s="9"/>
      <c r="P49" s="9"/>
      <c r="Q49" s="9"/>
      <c r="R49" s="9"/>
      <c r="S49" s="9"/>
      <c r="T49" s="8"/>
    </row>
    <row r="50" spans="1:22" x14ac:dyDescent="0.2">
      <c r="B50" s="1" t="s">
        <v>69</v>
      </c>
      <c r="D50" s="9"/>
      <c r="E50" s="9"/>
      <c r="F50" s="9"/>
      <c r="G50" s="9"/>
      <c r="H50" s="9"/>
      <c r="I50" s="9"/>
      <c r="J50" s="9"/>
      <c r="K50" s="9"/>
      <c r="L50" s="9"/>
      <c r="M50" s="9"/>
      <c r="N50" s="9"/>
      <c r="O50" s="9"/>
      <c r="P50" s="9"/>
      <c r="Q50" s="9"/>
      <c r="R50" s="9"/>
      <c r="S50" s="9"/>
      <c r="T50" s="8"/>
    </row>
    <row r="51" spans="1:22" x14ac:dyDescent="0.2">
      <c r="A51">
        <v>713000</v>
      </c>
      <c r="B51" s="2" t="s">
        <v>149</v>
      </c>
      <c r="D51" s="9">
        <v>0</v>
      </c>
      <c r="E51" s="9"/>
      <c r="F51" s="9"/>
      <c r="G51" s="9">
        <v>0</v>
      </c>
      <c r="H51" s="9"/>
      <c r="I51" s="9"/>
      <c r="J51" s="9">
        <f>ROUND((G51*$C$5),0)</f>
        <v>0</v>
      </c>
      <c r="K51" s="9"/>
      <c r="L51" s="9"/>
      <c r="M51" s="9">
        <f>ROUND((J51*$C$5),0)</f>
        <v>0</v>
      </c>
      <c r="N51" s="9"/>
      <c r="O51" s="9"/>
      <c r="P51" s="9">
        <f>ROUND((M51*$C$5),0)</f>
        <v>0</v>
      </c>
      <c r="Q51" s="9"/>
      <c r="R51" s="9"/>
      <c r="S51" s="9">
        <f t="shared" si="1"/>
        <v>0</v>
      </c>
      <c r="T51" s="8"/>
    </row>
    <row r="52" spans="1:22" x14ac:dyDescent="0.2">
      <c r="A52">
        <v>712150</v>
      </c>
      <c r="B52" t="s">
        <v>4</v>
      </c>
      <c r="D52" s="9">
        <v>0</v>
      </c>
      <c r="E52" s="9"/>
      <c r="F52" s="9"/>
      <c r="G52" s="9">
        <f>ROUND((D52*$C$5),0)</f>
        <v>0</v>
      </c>
      <c r="H52" s="9"/>
      <c r="I52" s="9"/>
      <c r="J52" s="9">
        <f>ROUND((G52*$C$5),0)</f>
        <v>0</v>
      </c>
      <c r="K52" s="9"/>
      <c r="L52" s="9"/>
      <c r="M52" s="9">
        <f>ROUND((J52*$C$5),0)</f>
        <v>0</v>
      </c>
      <c r="N52" s="9"/>
      <c r="O52" s="9"/>
      <c r="P52" s="9">
        <f>ROUND((M52*$C$5),0)</f>
        <v>0</v>
      </c>
      <c r="Q52" s="9"/>
      <c r="R52" s="9"/>
      <c r="S52" s="9">
        <f t="shared" si="1"/>
        <v>0</v>
      </c>
      <c r="T52" s="8"/>
    </row>
    <row r="53" spans="1:22" x14ac:dyDescent="0.2">
      <c r="A53">
        <v>712687</v>
      </c>
      <c r="B53" s="2" t="s">
        <v>30</v>
      </c>
      <c r="D53" s="9">
        <v>0</v>
      </c>
      <c r="E53" s="9"/>
      <c r="F53" s="9"/>
      <c r="G53" s="9">
        <v>0</v>
      </c>
      <c r="H53" s="9"/>
      <c r="I53" s="9"/>
      <c r="J53" s="9">
        <v>0</v>
      </c>
      <c r="K53" s="9"/>
      <c r="L53" s="9"/>
      <c r="M53" s="9">
        <v>0</v>
      </c>
      <c r="N53" s="9"/>
      <c r="O53" s="9"/>
      <c r="P53" s="9">
        <v>0</v>
      </c>
      <c r="Q53" s="9"/>
      <c r="R53" s="9"/>
      <c r="S53" s="9">
        <v>0</v>
      </c>
      <c r="T53" s="8"/>
    </row>
    <row r="54" spans="1:22" x14ac:dyDescent="0.2">
      <c r="A54">
        <v>712000</v>
      </c>
      <c r="B54" t="s">
        <v>151</v>
      </c>
      <c r="D54" s="9">
        <v>0</v>
      </c>
      <c r="E54" s="9"/>
      <c r="F54" s="9"/>
      <c r="G54" s="9">
        <v>0</v>
      </c>
      <c r="H54" s="9"/>
      <c r="I54" s="9"/>
      <c r="J54" s="9">
        <v>0</v>
      </c>
      <c r="K54" s="9"/>
      <c r="L54" s="9"/>
      <c r="M54" s="9">
        <v>0</v>
      </c>
      <c r="N54" s="9"/>
      <c r="O54" s="9"/>
      <c r="P54" s="9">
        <v>0</v>
      </c>
      <c r="Q54" s="9"/>
      <c r="R54" s="9"/>
      <c r="S54" s="9">
        <f t="shared" si="1"/>
        <v>0</v>
      </c>
      <c r="T54" s="8"/>
    </row>
    <row r="55" spans="1:22" x14ac:dyDescent="0.2">
      <c r="A55">
        <v>714230</v>
      </c>
      <c r="B55" s="2" t="s">
        <v>38</v>
      </c>
      <c r="D55" s="22">
        <f>C20*M8</f>
        <v>0</v>
      </c>
      <c r="E55" s="9"/>
      <c r="F55" s="9"/>
      <c r="G55" s="22">
        <f>ROUND(F20*M8*C3,0)</f>
        <v>0</v>
      </c>
      <c r="H55" s="9"/>
      <c r="I55" s="9"/>
      <c r="J55" s="22">
        <f>ROUND(I20*M8*C3*C3,0)</f>
        <v>0</v>
      </c>
      <c r="K55" s="9"/>
      <c r="L55" s="9"/>
      <c r="M55" s="22">
        <f>ROUND(L20*M8*C3*C3*C3,0)</f>
        <v>0</v>
      </c>
      <c r="N55" s="9"/>
      <c r="O55" s="9"/>
      <c r="P55" s="22">
        <f>ROUND(O20*M8*C3*C3*C3*C3,0)</f>
        <v>0</v>
      </c>
      <c r="Q55" s="9"/>
      <c r="R55" s="9"/>
      <c r="S55" s="22">
        <f>SUM(D55,G55,J55,M55,P55)</f>
        <v>0</v>
      </c>
      <c r="T55" s="8"/>
    </row>
    <row r="56" spans="1:22" x14ac:dyDescent="0.2">
      <c r="A56">
        <v>712370</v>
      </c>
      <c r="B56" s="2" t="s">
        <v>39</v>
      </c>
      <c r="D56" s="9">
        <f>M9*C20</f>
        <v>0</v>
      </c>
      <c r="E56" s="9"/>
      <c r="F56" s="9"/>
      <c r="G56" s="9">
        <f>ROUND(F20*M9*C4,0)</f>
        <v>0</v>
      </c>
      <c r="H56" s="9"/>
      <c r="I56" s="9"/>
      <c r="J56" s="9">
        <f>ROUND(I20*M9*C4*C4,0)</f>
        <v>0</v>
      </c>
      <c r="K56" s="9"/>
      <c r="L56" s="9"/>
      <c r="M56" s="9">
        <f>ROUND(L20*M9*C4*C4*C4,0)</f>
        <v>0</v>
      </c>
      <c r="N56" s="9"/>
      <c r="O56" s="9"/>
      <c r="P56" s="9">
        <f>ROUND(O20*M9*C4*C4*C4*C4,0)</f>
        <v>0</v>
      </c>
      <c r="Q56" s="9"/>
      <c r="R56" s="9"/>
      <c r="S56" s="22">
        <f t="shared" ref="S56:S58" si="2">SUM(D56,G56,J56,M56,P56)</f>
        <v>0</v>
      </c>
      <c r="T56" s="8"/>
    </row>
    <row r="57" spans="1:22" x14ac:dyDescent="0.2">
      <c r="B57" t="s">
        <v>58</v>
      </c>
      <c r="D57" s="22">
        <f>C20*O8</f>
        <v>0</v>
      </c>
      <c r="E57" s="9"/>
      <c r="F57" s="9"/>
      <c r="G57" s="22">
        <f>ROUND(F20*O8*C5,0)</f>
        <v>0</v>
      </c>
      <c r="H57" s="9"/>
      <c r="I57" s="9"/>
      <c r="J57" s="22">
        <f>ROUND(I20*O8*C5*C5,0)</f>
        <v>0</v>
      </c>
      <c r="K57" s="9"/>
      <c r="L57" s="9"/>
      <c r="M57" s="22">
        <f>ROUND(L20*O8*C5*C5*C5,0)</f>
        <v>0</v>
      </c>
      <c r="N57" s="9"/>
      <c r="O57" s="9"/>
      <c r="P57" s="22">
        <f>ROUND(O20*O8*C5*C5*C5*C5,0)</f>
        <v>0</v>
      </c>
      <c r="Q57" s="9"/>
      <c r="R57" s="9"/>
      <c r="S57" s="22">
        <f t="shared" si="2"/>
        <v>0</v>
      </c>
      <c r="T57" s="8"/>
    </row>
    <row r="58" spans="1:22" x14ac:dyDescent="0.2">
      <c r="B58" t="s">
        <v>57</v>
      </c>
      <c r="D58" s="22">
        <f>C20*O9</f>
        <v>0</v>
      </c>
      <c r="E58" s="9"/>
      <c r="F58" s="9"/>
      <c r="G58" s="22">
        <f>ROUND(F20*O9*C5,0)</f>
        <v>0</v>
      </c>
      <c r="H58" s="9"/>
      <c r="I58" s="9"/>
      <c r="J58" s="22">
        <f>ROUND(I20*O9*C5*C5,0)</f>
        <v>0</v>
      </c>
      <c r="K58" s="9"/>
      <c r="L58" s="9"/>
      <c r="M58" s="22">
        <f>ROUND(L20*O9*C5*C5*C5,0)</f>
        <v>0</v>
      </c>
      <c r="N58" s="9"/>
      <c r="O58" s="9"/>
      <c r="P58" s="22">
        <f>ROUND(O20*O9*C5*C5*C5*C5,0)</f>
        <v>0</v>
      </c>
      <c r="Q58" s="9"/>
      <c r="R58" s="9"/>
      <c r="S58" s="22">
        <f t="shared" si="2"/>
        <v>0</v>
      </c>
      <c r="T58" s="8"/>
    </row>
    <row r="59" spans="1:22" s="5" customFormat="1" x14ac:dyDescent="0.2">
      <c r="B59" s="5" t="s">
        <v>16</v>
      </c>
      <c r="D59" s="12">
        <f>SUM(D55:D58)</f>
        <v>0</v>
      </c>
      <c r="E59" s="12"/>
      <c r="F59" s="13"/>
      <c r="G59" s="12">
        <f>SUM(G55:G58)</f>
        <v>0</v>
      </c>
      <c r="H59" s="12"/>
      <c r="I59" s="12"/>
      <c r="J59" s="12">
        <f>SUM(J55:J58)</f>
        <v>0</v>
      </c>
      <c r="K59" s="12"/>
      <c r="L59" s="12"/>
      <c r="M59" s="12">
        <f>SUM(M55:M58)</f>
        <v>0</v>
      </c>
      <c r="N59" s="13"/>
      <c r="O59" s="12"/>
      <c r="P59" s="12">
        <f>SUM(P55:P58)</f>
        <v>0</v>
      </c>
      <c r="Q59" s="12"/>
      <c r="R59" s="12"/>
      <c r="S59" s="12">
        <f t="shared" si="1"/>
        <v>0</v>
      </c>
      <c r="T59" s="12"/>
    </row>
    <row r="60" spans="1:22" x14ac:dyDescent="0.2">
      <c r="B60" s="1" t="s">
        <v>3</v>
      </c>
      <c r="C60" s="1"/>
      <c r="D60" s="10">
        <f>SUM(D51:D58)</f>
        <v>0</v>
      </c>
      <c r="E60" s="10"/>
      <c r="F60" s="11"/>
      <c r="G60" s="10">
        <f>SUM(G51:G58)</f>
        <v>0</v>
      </c>
      <c r="H60" s="10"/>
      <c r="I60" s="10"/>
      <c r="J60" s="10">
        <f>SUM(J51:J58)</f>
        <v>0</v>
      </c>
      <c r="K60" s="10"/>
      <c r="L60" s="10"/>
      <c r="M60" s="10">
        <f>SUM(M51:M58)</f>
        <v>0</v>
      </c>
      <c r="N60" s="10"/>
      <c r="O60" s="10"/>
      <c r="P60" s="10">
        <f>SUM(P51:P58)</f>
        <v>0</v>
      </c>
      <c r="Q60" s="10"/>
      <c r="R60" s="10"/>
      <c r="S60" s="10">
        <f>SUM(D60,G60,J60,M60,P60)</f>
        <v>0</v>
      </c>
      <c r="T60" s="8"/>
    </row>
    <row r="61" spans="1:22" x14ac:dyDescent="0.2">
      <c r="D61" s="8"/>
      <c r="E61" s="8"/>
      <c r="F61" s="9"/>
      <c r="G61" s="8"/>
      <c r="H61" s="8"/>
      <c r="I61" s="8"/>
      <c r="J61" s="8"/>
      <c r="K61" s="8"/>
      <c r="L61" s="8"/>
      <c r="M61" s="8"/>
      <c r="N61" s="8"/>
      <c r="O61" s="8"/>
      <c r="P61" s="8"/>
      <c r="Q61" s="8"/>
      <c r="R61" s="8"/>
      <c r="S61" s="8"/>
      <c r="T61" s="8"/>
    </row>
    <row r="62" spans="1:22" x14ac:dyDescent="0.2">
      <c r="B62" s="1" t="s">
        <v>2</v>
      </c>
      <c r="C62" s="1"/>
      <c r="D62" s="10">
        <f>SUM(D34,D39,D41,D48,D60)</f>
        <v>0</v>
      </c>
      <c r="E62" s="10"/>
      <c r="F62" s="11"/>
      <c r="G62" s="10">
        <f>SUM(G34,G39,G41,G48,G60)</f>
        <v>0</v>
      </c>
      <c r="H62" s="10"/>
      <c r="I62" s="10"/>
      <c r="J62" s="10">
        <f>SUM(J34,J39,J41,J48,J60)</f>
        <v>0</v>
      </c>
      <c r="K62" s="10"/>
      <c r="L62" s="10"/>
      <c r="M62" s="10">
        <f>SUM(M34,M39,M41,M48,M60)</f>
        <v>0</v>
      </c>
      <c r="N62" s="10"/>
      <c r="O62" s="10"/>
      <c r="P62" s="10">
        <f>SUM(P34,P39,P41,P48,P60)</f>
        <v>0</v>
      </c>
      <c r="Q62" s="10"/>
      <c r="R62" s="10"/>
      <c r="S62" s="10">
        <f t="shared" si="1"/>
        <v>0</v>
      </c>
      <c r="T62" s="8"/>
    </row>
    <row r="63" spans="1:22" x14ac:dyDescent="0.2">
      <c r="B63" s="5" t="s">
        <v>70</v>
      </c>
      <c r="D63" s="8"/>
      <c r="E63" s="12">
        <f>IF(D53&lt;25000,D53,25000)</f>
        <v>0</v>
      </c>
      <c r="F63" s="9"/>
      <c r="G63" s="8"/>
      <c r="H63" s="12">
        <f>IF(D53&lt;25000,IF(SUM(D53,G53)&lt;25000.01,G53,25000-D53),0)</f>
        <v>0</v>
      </c>
      <c r="I63" s="12"/>
      <c r="J63" s="12"/>
      <c r="K63" s="12">
        <f>IF(SUM(D53,G53)&lt;25000,IF(SUM(D53,G53,J53)&lt;25000.01,J53,25000-SUM(D53,G53)),0)</f>
        <v>0</v>
      </c>
      <c r="L63" s="12"/>
      <c r="M63" s="12"/>
      <c r="N63" s="12">
        <f>IF(SUM(D53,G53,J53)&lt;25000,IF(SUM(D53,G53,J53,M53)&lt;25000.01,M53,25000-SUM(D53,G53,J53)),0)</f>
        <v>0</v>
      </c>
      <c r="O63" s="12"/>
      <c r="P63" s="12"/>
      <c r="Q63" s="12">
        <f>IF(SUM(D53,G53,J53,M53)&lt;25000.01,IF(SUM(D53,G53,J53,M53,P53)&lt;25000.01,P53,25000-SUM(D53,G53,J53,M53)),0)</f>
        <v>0</v>
      </c>
      <c r="R63" s="8"/>
      <c r="S63" s="8"/>
      <c r="T63" s="8"/>
      <c r="V63" s="8">
        <f>SUM(E63:O63)</f>
        <v>0</v>
      </c>
    </row>
    <row r="64" spans="1:22" x14ac:dyDescent="0.2">
      <c r="B64" s="5" t="s">
        <v>71</v>
      </c>
      <c r="C64" s="5"/>
      <c r="D64" s="12"/>
      <c r="E64" s="12">
        <f>D62-D55-D41-D48-D57-D58-D53+E63</f>
        <v>0</v>
      </c>
      <c r="F64" s="13"/>
      <c r="G64" s="12"/>
      <c r="H64" s="12">
        <f>G62-G55-G41-G48-G57-G58-G53+H63</f>
        <v>0</v>
      </c>
      <c r="I64" s="12"/>
      <c r="J64" s="12"/>
      <c r="K64" s="12">
        <f>J62-J55-J41-J48-J57-J58-J53+K63</f>
        <v>0</v>
      </c>
      <c r="L64" s="12"/>
      <c r="M64" s="12"/>
      <c r="N64" s="12">
        <f>M62-M55-M41-M48-M57-M58-M53+N63</f>
        <v>0</v>
      </c>
      <c r="O64" s="12"/>
      <c r="P64" s="12"/>
      <c r="Q64" s="12">
        <f>P62-P55-P41-P48-P57-P58-P53+Q63</f>
        <v>0</v>
      </c>
      <c r="R64" s="12"/>
      <c r="S64" s="12"/>
      <c r="T64" s="8"/>
    </row>
    <row r="65" spans="1:250" x14ac:dyDescent="0.2">
      <c r="D65" s="8"/>
      <c r="E65" s="8"/>
      <c r="F65" s="9"/>
      <c r="G65" s="8"/>
      <c r="H65" s="8"/>
      <c r="I65" s="8"/>
      <c r="J65" s="8"/>
      <c r="K65" s="8"/>
      <c r="L65" s="8"/>
      <c r="M65" s="8"/>
      <c r="N65" s="8"/>
      <c r="O65" s="8"/>
      <c r="P65" s="8"/>
      <c r="Q65" s="8"/>
      <c r="R65" s="8"/>
      <c r="S65" s="8"/>
      <c r="T65" s="8"/>
    </row>
    <row r="66" spans="1:250" x14ac:dyDescent="0.2">
      <c r="A66">
        <v>787000</v>
      </c>
      <c r="B66" s="1" t="s">
        <v>72</v>
      </c>
      <c r="C66" s="1"/>
      <c r="D66" s="10">
        <f>ROUND((E64*$G$4),0)</f>
        <v>0</v>
      </c>
      <c r="E66" s="10"/>
      <c r="F66" s="11"/>
      <c r="G66" s="10">
        <f>ROUND((H64*$G$4),0)</f>
        <v>0</v>
      </c>
      <c r="H66" s="10"/>
      <c r="I66" s="10"/>
      <c r="J66" s="10">
        <f>ROUND((K64*$G$4),0)</f>
        <v>0</v>
      </c>
      <c r="K66" s="10"/>
      <c r="L66" s="10"/>
      <c r="M66" s="10">
        <f>ROUND((N64*$G$4),0)</f>
        <v>0</v>
      </c>
      <c r="N66" s="10"/>
      <c r="O66" s="10"/>
      <c r="P66" s="10">
        <f>ROUND((Q64*$G$4),0)</f>
        <v>0</v>
      </c>
      <c r="Q66" s="10"/>
      <c r="R66" s="10"/>
      <c r="S66" s="10">
        <f t="shared" si="1"/>
        <v>0</v>
      </c>
      <c r="T66" s="8"/>
    </row>
    <row r="67" spans="1:250" x14ac:dyDescent="0.2">
      <c r="D67" s="8"/>
      <c r="E67" s="8"/>
      <c r="F67" s="9"/>
      <c r="G67" s="8"/>
      <c r="H67" s="8"/>
      <c r="I67" s="8"/>
      <c r="J67" s="8"/>
      <c r="K67" s="8"/>
      <c r="L67" s="8"/>
      <c r="M67" s="8"/>
      <c r="N67" s="8"/>
      <c r="O67" s="8"/>
      <c r="P67" s="8"/>
      <c r="Q67" s="8"/>
      <c r="R67" s="8"/>
      <c r="S67" s="8"/>
      <c r="T67" s="8"/>
    </row>
    <row r="68" spans="1:250" ht="15" x14ac:dyDescent="0.25">
      <c r="B68" s="24" t="s">
        <v>73</v>
      </c>
      <c r="C68" s="24"/>
      <c r="D68" s="25">
        <f>SUM(D62,D66)</f>
        <v>0</v>
      </c>
      <c r="E68" s="25"/>
      <c r="F68" s="26"/>
      <c r="G68" s="25">
        <f>SUM(G62,G66)</f>
        <v>0</v>
      </c>
      <c r="H68" s="25"/>
      <c r="I68" s="25"/>
      <c r="J68" s="25">
        <f>SUM(J62,J66)</f>
        <v>0</v>
      </c>
      <c r="K68" s="25"/>
      <c r="L68" s="25"/>
      <c r="M68" s="25">
        <f>SUM(M62,M66)</f>
        <v>0</v>
      </c>
      <c r="N68" s="25"/>
      <c r="O68" s="25"/>
      <c r="P68" s="25">
        <f>SUM(P62,P66)</f>
        <v>0</v>
      </c>
      <c r="Q68" s="25"/>
      <c r="R68" s="25"/>
      <c r="S68" s="25">
        <f t="shared" si="1"/>
        <v>0</v>
      </c>
      <c r="T68" s="10"/>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row>
  </sheetData>
  <sheetProtection formatCells="0" formatColumns="0" formatRows="0" insertHyperlinks="0" sort="0" autoFilter="0"/>
  <phoneticPr fontId="1" type="noConversion"/>
  <printOptions gridLines="1"/>
  <pageMargins left="0.75" right="0.75" top="1" bottom="1" header="0.5" footer="0.5"/>
  <pageSetup scale="75" orientation="landscape"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43"/>
  <sheetViews>
    <sheetView workbookViewId="0">
      <selection activeCell="A41" sqref="A41:H42"/>
    </sheetView>
  </sheetViews>
  <sheetFormatPr defaultRowHeight="12.75" x14ac:dyDescent="0.2"/>
  <cols>
    <col min="1" max="1" width="45.85546875" customWidth="1"/>
    <col min="7" max="7" width="15.42578125" bestFit="1" customWidth="1"/>
  </cols>
  <sheetData>
    <row r="1" spans="1:8" x14ac:dyDescent="0.2">
      <c r="A1" t="s">
        <v>152</v>
      </c>
    </row>
    <row r="2" spans="1:8" x14ac:dyDescent="0.2">
      <c r="A2" t="s">
        <v>156</v>
      </c>
    </row>
    <row r="3" spans="1:8" x14ac:dyDescent="0.2">
      <c r="B3" s="2" t="s">
        <v>166</v>
      </c>
      <c r="C3" s="2" t="s">
        <v>167</v>
      </c>
      <c r="D3" s="2" t="s">
        <v>168</v>
      </c>
      <c r="E3" s="2" t="s">
        <v>169</v>
      </c>
      <c r="F3" s="2" t="s">
        <v>170</v>
      </c>
      <c r="G3" s="2" t="s">
        <v>171</v>
      </c>
      <c r="H3" s="2" t="s">
        <v>172</v>
      </c>
    </row>
    <row r="4" spans="1:8" x14ac:dyDescent="0.2">
      <c r="A4" s="1" t="s">
        <v>153</v>
      </c>
    </row>
    <row r="5" spans="1:8" x14ac:dyDescent="0.2">
      <c r="A5" t="s">
        <v>154</v>
      </c>
      <c r="H5">
        <f>SUM((B5*C5*D5),(B5*C5*E5),(B5*F5),(B5*G5))</f>
        <v>0</v>
      </c>
    </row>
    <row r="6" spans="1:8" x14ac:dyDescent="0.2">
      <c r="A6" t="s">
        <v>155</v>
      </c>
      <c r="H6">
        <f t="shared" ref="H6:H42" si="0">SUM((B6*C6*D6),(B6*C6*E6),(B6*F6),(B6*G6))</f>
        <v>0</v>
      </c>
    </row>
    <row r="7" spans="1:8" x14ac:dyDescent="0.2">
      <c r="A7" t="s">
        <v>157</v>
      </c>
      <c r="H7">
        <f t="shared" si="0"/>
        <v>0</v>
      </c>
    </row>
    <row r="8" spans="1:8" x14ac:dyDescent="0.2">
      <c r="A8" t="s">
        <v>158</v>
      </c>
      <c r="H8">
        <f t="shared" si="0"/>
        <v>0</v>
      </c>
    </row>
    <row r="9" spans="1:8" x14ac:dyDescent="0.2">
      <c r="A9" s="5" t="s">
        <v>159</v>
      </c>
      <c r="B9" s="5"/>
      <c r="C9" s="5"/>
      <c r="D9" s="5"/>
      <c r="E9" s="5"/>
      <c r="F9" s="5"/>
      <c r="G9" s="5"/>
      <c r="H9" s="5">
        <f t="shared" si="0"/>
        <v>0</v>
      </c>
    </row>
    <row r="10" spans="1:8" x14ac:dyDescent="0.2">
      <c r="A10" s="5" t="s">
        <v>160</v>
      </c>
      <c r="B10" s="5"/>
      <c r="C10" s="5"/>
      <c r="D10" s="5"/>
      <c r="E10" s="5"/>
      <c r="F10" s="5"/>
      <c r="G10" s="5"/>
      <c r="H10" s="5">
        <f t="shared" si="0"/>
        <v>0</v>
      </c>
    </row>
    <row r="11" spans="1:8" x14ac:dyDescent="0.2">
      <c r="A11" s="33" t="s">
        <v>161</v>
      </c>
      <c r="H11" s="1">
        <f t="shared" si="0"/>
        <v>0</v>
      </c>
    </row>
    <row r="12" spans="1:8" x14ac:dyDescent="0.2">
      <c r="A12" s="1" t="s">
        <v>162</v>
      </c>
    </row>
    <row r="13" spans="1:8" x14ac:dyDescent="0.2">
      <c r="A13" t="s">
        <v>154</v>
      </c>
      <c r="H13">
        <f t="shared" si="0"/>
        <v>0</v>
      </c>
    </row>
    <row r="14" spans="1:8" x14ac:dyDescent="0.2">
      <c r="A14" t="s">
        <v>155</v>
      </c>
      <c r="H14">
        <f t="shared" si="0"/>
        <v>0</v>
      </c>
    </row>
    <row r="15" spans="1:8" x14ac:dyDescent="0.2">
      <c r="A15" t="s">
        <v>157</v>
      </c>
      <c r="H15">
        <f t="shared" si="0"/>
        <v>0</v>
      </c>
    </row>
    <row r="16" spans="1:8" x14ac:dyDescent="0.2">
      <c r="A16" t="s">
        <v>158</v>
      </c>
      <c r="H16">
        <f t="shared" si="0"/>
        <v>0</v>
      </c>
    </row>
    <row r="17" spans="1:8" x14ac:dyDescent="0.2">
      <c r="A17" s="5" t="s">
        <v>159</v>
      </c>
      <c r="B17" s="5"/>
      <c r="C17" s="5"/>
      <c r="D17" s="5"/>
      <c r="E17" s="5"/>
      <c r="F17" s="5"/>
      <c r="G17" s="5"/>
      <c r="H17" s="5">
        <f t="shared" si="0"/>
        <v>0</v>
      </c>
    </row>
    <row r="18" spans="1:8" x14ac:dyDescent="0.2">
      <c r="A18" s="5" t="s">
        <v>160</v>
      </c>
      <c r="B18" s="5"/>
      <c r="C18" s="5"/>
      <c r="D18" s="5"/>
      <c r="E18" s="5"/>
      <c r="F18" s="5"/>
      <c r="G18" s="5"/>
      <c r="H18" s="5">
        <f t="shared" si="0"/>
        <v>0</v>
      </c>
    </row>
    <row r="19" spans="1:8" x14ac:dyDescent="0.2">
      <c r="A19" s="33" t="s">
        <v>162</v>
      </c>
      <c r="H19" s="1">
        <f>SUM(H13:H18)</f>
        <v>0</v>
      </c>
    </row>
    <row r="20" spans="1:8" x14ac:dyDescent="0.2">
      <c r="A20" s="1" t="s">
        <v>163</v>
      </c>
    </row>
    <row r="21" spans="1:8" x14ac:dyDescent="0.2">
      <c r="A21" t="s">
        <v>154</v>
      </c>
      <c r="H21">
        <f t="shared" si="0"/>
        <v>0</v>
      </c>
    </row>
    <row r="22" spans="1:8" x14ac:dyDescent="0.2">
      <c r="A22" t="s">
        <v>155</v>
      </c>
      <c r="H22">
        <f t="shared" si="0"/>
        <v>0</v>
      </c>
    </row>
    <row r="23" spans="1:8" x14ac:dyDescent="0.2">
      <c r="A23" t="s">
        <v>157</v>
      </c>
      <c r="H23">
        <f t="shared" si="0"/>
        <v>0</v>
      </c>
    </row>
    <row r="24" spans="1:8" x14ac:dyDescent="0.2">
      <c r="A24" t="s">
        <v>158</v>
      </c>
      <c r="H24">
        <f t="shared" si="0"/>
        <v>0</v>
      </c>
    </row>
    <row r="25" spans="1:8" x14ac:dyDescent="0.2">
      <c r="A25" s="5" t="s">
        <v>159</v>
      </c>
      <c r="B25" s="5"/>
      <c r="C25" s="5"/>
      <c r="D25" s="5"/>
      <c r="E25" s="5"/>
      <c r="F25" s="5"/>
      <c r="G25" s="5"/>
      <c r="H25" s="5">
        <f t="shared" si="0"/>
        <v>0</v>
      </c>
    </row>
    <row r="26" spans="1:8" x14ac:dyDescent="0.2">
      <c r="A26" s="5" t="s">
        <v>160</v>
      </c>
      <c r="B26" s="5"/>
      <c r="C26" s="5"/>
      <c r="D26" s="5"/>
      <c r="E26" s="5"/>
      <c r="F26" s="5"/>
      <c r="G26" s="5"/>
      <c r="H26" s="5">
        <f t="shared" si="0"/>
        <v>0</v>
      </c>
    </row>
    <row r="27" spans="1:8" x14ac:dyDescent="0.2">
      <c r="A27" s="33" t="s">
        <v>163</v>
      </c>
      <c r="H27" s="1">
        <f>SUM(H21:H26)</f>
        <v>0</v>
      </c>
    </row>
    <row r="28" spans="1:8" x14ac:dyDescent="0.2">
      <c r="A28" s="1" t="s">
        <v>164</v>
      </c>
    </row>
    <row r="29" spans="1:8" x14ac:dyDescent="0.2">
      <c r="A29" t="s">
        <v>154</v>
      </c>
      <c r="H29">
        <f t="shared" si="0"/>
        <v>0</v>
      </c>
    </row>
    <row r="30" spans="1:8" x14ac:dyDescent="0.2">
      <c r="A30" t="s">
        <v>155</v>
      </c>
      <c r="H30">
        <f t="shared" si="0"/>
        <v>0</v>
      </c>
    </row>
    <row r="31" spans="1:8" x14ac:dyDescent="0.2">
      <c r="A31" t="s">
        <v>157</v>
      </c>
      <c r="H31">
        <f t="shared" si="0"/>
        <v>0</v>
      </c>
    </row>
    <row r="32" spans="1:8" x14ac:dyDescent="0.2">
      <c r="A32" t="s">
        <v>158</v>
      </c>
      <c r="H32">
        <f t="shared" si="0"/>
        <v>0</v>
      </c>
    </row>
    <row r="33" spans="1:8" x14ac:dyDescent="0.2">
      <c r="A33" s="5" t="s">
        <v>159</v>
      </c>
      <c r="B33" s="5"/>
      <c r="C33" s="5"/>
      <c r="D33" s="5"/>
      <c r="E33" s="5"/>
      <c r="F33" s="5"/>
      <c r="G33" s="5"/>
      <c r="H33" s="5">
        <f t="shared" si="0"/>
        <v>0</v>
      </c>
    </row>
    <row r="34" spans="1:8" x14ac:dyDescent="0.2">
      <c r="A34" s="5" t="s">
        <v>160</v>
      </c>
      <c r="B34" s="5"/>
      <c r="C34" s="5"/>
      <c r="D34" s="5"/>
      <c r="E34" s="5"/>
      <c r="F34" s="5"/>
      <c r="G34" s="5"/>
      <c r="H34" s="5">
        <f t="shared" si="0"/>
        <v>0</v>
      </c>
    </row>
    <row r="35" spans="1:8" x14ac:dyDescent="0.2">
      <c r="A35" s="33" t="s">
        <v>164</v>
      </c>
      <c r="H35" s="1">
        <f>SUM(H29:H34)</f>
        <v>0</v>
      </c>
    </row>
    <row r="36" spans="1:8" x14ac:dyDescent="0.2">
      <c r="A36" s="1" t="s">
        <v>165</v>
      </c>
    </row>
    <row r="37" spans="1:8" x14ac:dyDescent="0.2">
      <c r="A37" t="s">
        <v>154</v>
      </c>
      <c r="H37">
        <f t="shared" si="0"/>
        <v>0</v>
      </c>
    </row>
    <row r="38" spans="1:8" x14ac:dyDescent="0.2">
      <c r="A38" t="s">
        <v>155</v>
      </c>
      <c r="H38">
        <f t="shared" si="0"/>
        <v>0</v>
      </c>
    </row>
    <row r="39" spans="1:8" x14ac:dyDescent="0.2">
      <c r="A39" t="s">
        <v>157</v>
      </c>
      <c r="H39">
        <f t="shared" si="0"/>
        <v>0</v>
      </c>
    </row>
    <row r="40" spans="1:8" x14ac:dyDescent="0.2">
      <c r="A40" t="s">
        <v>158</v>
      </c>
      <c r="H40">
        <f t="shared" si="0"/>
        <v>0</v>
      </c>
    </row>
    <row r="41" spans="1:8" x14ac:dyDescent="0.2">
      <c r="A41" s="5" t="s">
        <v>159</v>
      </c>
      <c r="B41" s="5"/>
      <c r="C41" s="5"/>
      <c r="D41" s="5"/>
      <c r="E41" s="5"/>
      <c r="F41" s="5"/>
      <c r="G41" s="5"/>
      <c r="H41" s="5">
        <f t="shared" si="0"/>
        <v>0</v>
      </c>
    </row>
    <row r="42" spans="1:8" x14ac:dyDescent="0.2">
      <c r="A42" s="5" t="s">
        <v>160</v>
      </c>
      <c r="B42" s="5"/>
      <c r="C42" s="5"/>
      <c r="D42" s="5"/>
      <c r="E42" s="5"/>
      <c r="F42" s="5"/>
      <c r="G42" s="5"/>
      <c r="H42" s="5">
        <f t="shared" si="0"/>
        <v>0</v>
      </c>
    </row>
    <row r="43" spans="1:8" x14ac:dyDescent="0.2">
      <c r="A43" s="33" t="s">
        <v>165</v>
      </c>
      <c r="H43" s="1">
        <f>SUM(H37:H42)</f>
        <v>0</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7"/>
  <sheetViews>
    <sheetView workbookViewId="0">
      <selection activeCell="A49" sqref="A49"/>
    </sheetView>
  </sheetViews>
  <sheetFormatPr defaultRowHeight="12.75" x14ac:dyDescent="0.2"/>
  <cols>
    <col min="1" max="1" width="38.7109375" bestFit="1" customWidth="1"/>
    <col min="2" max="2" width="11.140625" bestFit="1" customWidth="1"/>
    <col min="4" max="4" width="27.42578125" customWidth="1"/>
  </cols>
  <sheetData>
    <row r="1" spans="1:4" x14ac:dyDescent="0.2">
      <c r="A1" s="34" t="s">
        <v>74</v>
      </c>
      <c r="B1" s="34"/>
    </row>
    <row r="2" spans="1:4" x14ac:dyDescent="0.2">
      <c r="A2" s="1" t="s">
        <v>75</v>
      </c>
      <c r="B2" s="18">
        <v>125000</v>
      </c>
      <c r="D2" s="1"/>
    </row>
    <row r="3" spans="1:4" x14ac:dyDescent="0.2">
      <c r="A3" s="1" t="s">
        <v>80</v>
      </c>
    </row>
    <row r="4" spans="1:4" x14ac:dyDescent="0.2">
      <c r="A4" s="2" t="s">
        <v>40</v>
      </c>
      <c r="B4" s="18">
        <f>IF(B2&lt;106800,(B2*0.062),6621.6)</f>
        <v>6621.6</v>
      </c>
    </row>
    <row r="5" spans="1:4" x14ac:dyDescent="0.2">
      <c r="A5" s="2" t="s">
        <v>41</v>
      </c>
      <c r="B5" s="18">
        <f>B2*'Lock this tab'!B11</f>
        <v>1812.5</v>
      </c>
    </row>
    <row r="6" spans="1:4" x14ac:dyDescent="0.2">
      <c r="A6" s="2" t="s">
        <v>42</v>
      </c>
      <c r="B6" s="18">
        <f>B2*'Lock this tab'!B12</f>
        <v>1275</v>
      </c>
    </row>
    <row r="7" spans="1:4" x14ac:dyDescent="0.2">
      <c r="A7" s="2" t="s">
        <v>46</v>
      </c>
      <c r="B7" s="18">
        <f>VLOOKUP(A7,'Lock this tab'!A1:B7,2)</f>
        <v>3924</v>
      </c>
    </row>
    <row r="8" spans="1:4" x14ac:dyDescent="0.2">
      <c r="A8" s="2" t="s">
        <v>50</v>
      </c>
      <c r="B8" s="18">
        <f>B2*'Lock this tab'!B13</f>
        <v>1237.5</v>
      </c>
    </row>
    <row r="9" spans="1:4" x14ac:dyDescent="0.2">
      <c r="A9" t="s">
        <v>78</v>
      </c>
      <c r="B9" s="28">
        <f>VLOOKUP(A9,'Lock this tab'!A15:B17,2)</f>
        <v>0.104</v>
      </c>
      <c r="C9">
        <f>B9*B2</f>
        <v>13000</v>
      </c>
    </row>
    <row r="10" spans="1:4" x14ac:dyDescent="0.2">
      <c r="A10" s="2" t="s">
        <v>55</v>
      </c>
      <c r="B10" s="18">
        <f>B2*'Lock this tab'!B14</f>
        <v>825</v>
      </c>
    </row>
    <row r="11" spans="1:4" x14ac:dyDescent="0.2">
      <c r="A11" s="2" t="s">
        <v>56</v>
      </c>
      <c r="B11" s="18">
        <v>480</v>
      </c>
    </row>
    <row r="12" spans="1:4" x14ac:dyDescent="0.2">
      <c r="A12" s="1" t="s">
        <v>76</v>
      </c>
      <c r="B12" s="20">
        <f>SUM(B4,B5,B6,B7,B8,C9,B10,B11)/B2</f>
        <v>0.2334048</v>
      </c>
    </row>
    <row r="14" spans="1:4" x14ac:dyDescent="0.2">
      <c r="A14" s="35" t="s">
        <v>77</v>
      </c>
    </row>
    <row r="15" spans="1:4" x14ac:dyDescent="0.2">
      <c r="A15" s="35"/>
    </row>
    <row r="16" spans="1:4" x14ac:dyDescent="0.2">
      <c r="A16" s="35"/>
    </row>
    <row r="17" spans="1:4" x14ac:dyDescent="0.2">
      <c r="A17" s="1"/>
      <c r="B17" s="18"/>
      <c r="D17" s="1"/>
    </row>
  </sheetData>
  <mergeCells count="2">
    <mergeCell ref="A1:B1"/>
    <mergeCell ref="A14:A16"/>
  </mergeCells>
  <phoneticPr fontId="1" type="noConversion"/>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2">
        <x14:dataValidation type="list" allowBlank="1" showInputMessage="1" showErrorMessage="1" errorTitle="You must select a plan" error="You must select a plan" promptTitle="Select Appropriate Health Plan" prompt="Select the health plan from the drop down list or select &quot;None.&quot;" xr:uid="{00000000-0002-0000-0300-000000000000}">
          <x14:formula1>
            <xm:f>'Lock this tab'!$A$1:$A$7</xm:f>
          </x14:formula1>
          <xm:sqref>A7</xm:sqref>
        </x14:dataValidation>
        <x14:dataValidation type="list" allowBlank="1" showInputMessage="1" showErrorMessage="1" promptTitle="Select Teacher's Annuity Rate" prompt="Select Teacher Annuity Rate based on hire date, or select N/A to exclude this from fringe benefit." xr:uid="{00000000-0002-0000-0300-000001000000}">
          <x14:formula1>
            <xm:f>'Lock this tab'!$A$15:$A$17</xm:f>
          </x14:formula1>
          <xm:sqref>A9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19"/>
  <sheetViews>
    <sheetView workbookViewId="0">
      <selection activeCell="B13" sqref="B13"/>
    </sheetView>
  </sheetViews>
  <sheetFormatPr defaultRowHeight="12.75" x14ac:dyDescent="0.2"/>
  <cols>
    <col min="1" max="1" width="30" customWidth="1"/>
  </cols>
  <sheetData>
    <row r="1" spans="1:2" x14ac:dyDescent="0.2">
      <c r="A1" s="2" t="s">
        <v>44</v>
      </c>
      <c r="B1" s="17">
        <v>8232</v>
      </c>
    </row>
    <row r="2" spans="1:2" x14ac:dyDescent="0.2">
      <c r="A2" s="2" t="s">
        <v>45</v>
      </c>
      <c r="B2" s="17">
        <v>12024</v>
      </c>
    </row>
    <row r="3" spans="1:2" x14ac:dyDescent="0.2">
      <c r="A3" s="2" t="s">
        <v>43</v>
      </c>
      <c r="B3" s="17">
        <v>4596</v>
      </c>
    </row>
    <row r="4" spans="1:2" x14ac:dyDescent="0.2">
      <c r="A4" s="2" t="s">
        <v>47</v>
      </c>
      <c r="B4" s="17">
        <v>7272</v>
      </c>
    </row>
    <row r="5" spans="1:2" x14ac:dyDescent="0.2">
      <c r="A5" s="2" t="s">
        <v>48</v>
      </c>
      <c r="B5" s="17">
        <v>10632</v>
      </c>
    </row>
    <row r="6" spans="1:2" x14ac:dyDescent="0.2">
      <c r="A6" s="2" t="s">
        <v>46</v>
      </c>
      <c r="B6" s="17">
        <v>3924</v>
      </c>
    </row>
    <row r="7" spans="1:2" x14ac:dyDescent="0.2">
      <c r="A7" s="2" t="s">
        <v>49</v>
      </c>
      <c r="B7" s="17">
        <v>0</v>
      </c>
    </row>
    <row r="9" spans="1:2" x14ac:dyDescent="0.2">
      <c r="A9" s="2" t="s">
        <v>51</v>
      </c>
      <c r="B9" s="19">
        <v>6.5799999999999997E-2</v>
      </c>
    </row>
    <row r="10" spans="1:2" x14ac:dyDescent="0.2">
      <c r="A10" s="2" t="s">
        <v>40</v>
      </c>
      <c r="B10" s="19">
        <v>6.2E-2</v>
      </c>
    </row>
    <row r="11" spans="1:2" x14ac:dyDescent="0.2">
      <c r="A11" s="2" t="s">
        <v>41</v>
      </c>
      <c r="B11" s="19">
        <v>1.4500000000000001E-2</v>
      </c>
    </row>
    <row r="12" spans="1:2" x14ac:dyDescent="0.2">
      <c r="A12" s="2" t="s">
        <v>42</v>
      </c>
      <c r="B12" s="19">
        <v>1.0200000000000001E-2</v>
      </c>
    </row>
    <row r="13" spans="1:2" x14ac:dyDescent="0.2">
      <c r="A13" s="2" t="s">
        <v>52</v>
      </c>
      <c r="B13" s="19">
        <v>9.9000000000000008E-3</v>
      </c>
    </row>
    <row r="14" spans="1:2" x14ac:dyDescent="0.2">
      <c r="A14" s="2" t="s">
        <v>53</v>
      </c>
      <c r="B14" s="19">
        <v>6.6E-3</v>
      </c>
    </row>
    <row r="15" spans="1:2" x14ac:dyDescent="0.2">
      <c r="A15" s="2" t="s">
        <v>78</v>
      </c>
      <c r="B15" s="27">
        <v>0.104</v>
      </c>
    </row>
    <row r="16" spans="1:2" x14ac:dyDescent="0.2">
      <c r="A16" s="2" t="s">
        <v>79</v>
      </c>
      <c r="B16" s="19">
        <v>8.5000000000000006E-2</v>
      </c>
    </row>
    <row r="17" spans="1:2" x14ac:dyDescent="0.2">
      <c r="A17" s="2" t="s">
        <v>54</v>
      </c>
      <c r="B17" s="19">
        <v>0</v>
      </c>
    </row>
    <row r="18" spans="1:2" x14ac:dyDescent="0.2">
      <c r="B18" s="19"/>
    </row>
    <row r="19" spans="1:2" x14ac:dyDescent="0.2">
      <c r="B19" s="19"/>
    </row>
  </sheetData>
  <sheetProtection password="DD3E" sheet="1" objects="1" scenarios="1"/>
  <sortState xmlns:xlrd2="http://schemas.microsoft.com/office/spreadsheetml/2017/richdata2" ref="A1:B7">
    <sortCondition ref="A1"/>
  </sortState>
  <phoneticPr fontId="1" type="noConversion"/>
  <pageMargins left="0.75" right="0.75" top="1" bottom="1" header="0.5" footer="0.5"/>
  <pageSetup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Budget Prep Guide</vt:lpstr>
      <vt:lpstr>Proposal Budget</vt:lpstr>
      <vt:lpstr>Travel Estimator</vt:lpstr>
      <vt:lpstr>Fringe Worksheet</vt:lpstr>
      <vt:lpstr>Lock this tab</vt:lpstr>
    </vt:vector>
  </TitlesOfParts>
  <Company>College of William and Mary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Information Technology</dc:creator>
  <cp:lastModifiedBy>Corbett, Cynthia A</cp:lastModifiedBy>
  <cp:lastPrinted>2003-06-25T20:01:59Z</cp:lastPrinted>
  <dcterms:created xsi:type="dcterms:W3CDTF">2003-06-19T18:19:52Z</dcterms:created>
  <dcterms:modified xsi:type="dcterms:W3CDTF">2021-03-01T17:35:16Z</dcterms:modified>
</cp:coreProperties>
</file>