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https://wmedu-my.sharepoint.com/personal/cacorb_wm_edu/Documents/Desktop/"/>
    </mc:Choice>
  </mc:AlternateContent>
  <xr:revisionPtr revIDLastSave="0" documentId="8_{D4988AC2-E045-4CE2-87F9-3EC12CA7E8F6}" xr6:coauthVersionLast="46" xr6:coauthVersionMax="46" xr10:uidLastSave="{00000000-0000-0000-0000-000000000000}"/>
  <bookViews>
    <workbookView xWindow="-120" yWindow="-120" windowWidth="29040" windowHeight="15840" activeTab="1" xr2:uid="{00000000-000D-0000-FFFF-FFFF00000000}"/>
  </bookViews>
  <sheets>
    <sheet name="Budget Prep Guide" sheetId="4" r:id="rId1"/>
    <sheet name="Proposal Budget" sheetId="1" r:id="rId2"/>
    <sheet name="Travel Estimator" sheetId="5" r:id="rId3"/>
    <sheet name="Fringe Worksheet" sheetId="2" r:id="rId4"/>
    <sheet name="Lock this tab"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 l="1"/>
  <c r="D15" i="1" s="1"/>
  <c r="G26" i="1" l="1"/>
  <c r="H11" i="5"/>
  <c r="H13" i="5"/>
  <c r="H14" i="5"/>
  <c r="H15" i="5"/>
  <c r="H16" i="5"/>
  <c r="H17" i="5"/>
  <c r="H18" i="5"/>
  <c r="H21" i="5"/>
  <c r="H22" i="5"/>
  <c r="H23" i="5"/>
  <c r="H24" i="5"/>
  <c r="H25" i="5"/>
  <c r="H26" i="5"/>
  <c r="H29" i="5"/>
  <c r="H30" i="5"/>
  <c r="H31" i="5"/>
  <c r="H32" i="5"/>
  <c r="H33" i="5"/>
  <c r="H34" i="5"/>
  <c r="H37" i="5"/>
  <c r="H38" i="5"/>
  <c r="H39" i="5"/>
  <c r="H40" i="5"/>
  <c r="H41" i="5"/>
  <c r="H42" i="5"/>
  <c r="H5" i="5"/>
  <c r="H6" i="5"/>
  <c r="H7" i="5"/>
  <c r="H8" i="5"/>
  <c r="H9" i="5"/>
  <c r="H10" i="5"/>
  <c r="D16" i="1"/>
  <c r="D26" i="1" s="1"/>
  <c r="G19" i="1"/>
  <c r="J19" i="1" s="1"/>
  <c r="P20" i="1"/>
  <c r="P30" i="1" s="1"/>
  <c r="T31" i="4"/>
  <c r="T29" i="4"/>
  <c r="P56" i="1"/>
  <c r="P55" i="1"/>
  <c r="P57" i="1"/>
  <c r="P58" i="1"/>
  <c r="M58" i="1"/>
  <c r="M57" i="1"/>
  <c r="M56" i="1"/>
  <c r="M55" i="1"/>
  <c r="P21" i="1"/>
  <c r="P31" i="1" s="1"/>
  <c r="M21" i="1"/>
  <c r="M31" i="1" s="1"/>
  <c r="M20" i="1"/>
  <c r="M30" i="1" s="1"/>
  <c r="J21" i="1"/>
  <c r="J31" i="1" s="1"/>
  <c r="J20" i="1"/>
  <c r="J30" i="1" s="1"/>
  <c r="J58" i="1"/>
  <c r="J57" i="1"/>
  <c r="J56" i="1"/>
  <c r="J55" i="1"/>
  <c r="G58" i="1"/>
  <c r="G57" i="1"/>
  <c r="G56" i="1"/>
  <c r="G59" i="1" s="1"/>
  <c r="G55" i="1"/>
  <c r="N63" i="1"/>
  <c r="K63" i="1"/>
  <c r="H63" i="1"/>
  <c r="E63" i="1"/>
  <c r="Q63" i="1"/>
  <c r="D58" i="1"/>
  <c r="S58" i="1" s="1"/>
  <c r="D57" i="1"/>
  <c r="D55" i="1"/>
  <c r="D56" i="1"/>
  <c r="B9" i="2"/>
  <c r="C9" i="2" s="1"/>
  <c r="B10" i="2"/>
  <c r="B4" i="2"/>
  <c r="B6" i="2"/>
  <c r="B5" i="2"/>
  <c r="B8" i="2"/>
  <c r="B7" i="2"/>
  <c r="D21" i="1"/>
  <c r="D20" i="1"/>
  <c r="G20" i="1" s="1"/>
  <c r="D30" i="1"/>
  <c r="D29" i="1"/>
  <c r="D18" i="1"/>
  <c r="D28" i="1" s="1"/>
  <c r="D17" i="1"/>
  <c r="G52" i="1"/>
  <c r="G60" i="1" s="1"/>
  <c r="J38" i="1"/>
  <c r="M38" i="1" s="1"/>
  <c r="G37" i="1"/>
  <c r="J37" i="1" s="1"/>
  <c r="G15" i="1"/>
  <c r="J15" i="1" s="1"/>
  <c r="M15" i="1" s="1"/>
  <c r="J16" i="1"/>
  <c r="J26" i="1" s="1"/>
  <c r="D25" i="1"/>
  <c r="S54" i="1"/>
  <c r="D39" i="1"/>
  <c r="D48" i="1"/>
  <c r="P48" i="1"/>
  <c r="M48" i="1"/>
  <c r="J48" i="1"/>
  <c r="G48" i="1"/>
  <c r="S47" i="1"/>
  <c r="S46" i="1"/>
  <c r="S45" i="1"/>
  <c r="S44" i="1"/>
  <c r="S41" i="1"/>
  <c r="D31" i="1"/>
  <c r="G21" i="1"/>
  <c r="G31" i="1" s="1"/>
  <c r="J51" i="1"/>
  <c r="M51" i="1" s="1"/>
  <c r="D27" i="1"/>
  <c r="G25" i="1" l="1"/>
  <c r="D22" i="1"/>
  <c r="S48" i="1"/>
  <c r="G18" i="1"/>
  <c r="G28" i="1" s="1"/>
  <c r="M59" i="1"/>
  <c r="S21" i="1"/>
  <c r="S56" i="1"/>
  <c r="S55" i="1"/>
  <c r="S57" i="1"/>
  <c r="P59" i="1"/>
  <c r="H35" i="5"/>
  <c r="H19" i="5"/>
  <c r="J59" i="1"/>
  <c r="H43" i="5"/>
  <c r="H27" i="5"/>
  <c r="M16" i="1"/>
  <c r="P16" i="1" s="1"/>
  <c r="P26" i="1" s="1"/>
  <c r="J52" i="1"/>
  <c r="D60" i="1"/>
  <c r="V63" i="1"/>
  <c r="B12" i="2"/>
  <c r="P38" i="1"/>
  <c r="S38" i="1"/>
  <c r="M19" i="1"/>
  <c r="J29" i="1"/>
  <c r="P15" i="1"/>
  <c r="M25" i="1"/>
  <c r="S31" i="1"/>
  <c r="D32" i="1"/>
  <c r="D34" i="1" s="1"/>
  <c r="P51" i="1"/>
  <c r="M37" i="1"/>
  <c r="J39" i="1"/>
  <c r="G30" i="1"/>
  <c r="S30" i="1" s="1"/>
  <c r="S20" i="1"/>
  <c r="S51" i="1"/>
  <c r="G39" i="1"/>
  <c r="J18" i="1"/>
  <c r="M52" i="1"/>
  <c r="P52" i="1" s="1"/>
  <c r="D59" i="1"/>
  <c r="S59" i="1" s="1"/>
  <c r="S15" i="1"/>
  <c r="J60" i="1"/>
  <c r="J25" i="1"/>
  <c r="G17" i="1"/>
  <c r="G29" i="1"/>
  <c r="S16" i="1" l="1"/>
  <c r="M26" i="1"/>
  <c r="S26" i="1" s="1"/>
  <c r="D62" i="1"/>
  <c r="S52" i="1"/>
  <c r="G27" i="1"/>
  <c r="J17" i="1"/>
  <c r="G22" i="1"/>
  <c r="M39" i="1"/>
  <c r="P37" i="1"/>
  <c r="P39" i="1" s="1"/>
  <c r="P60" i="1"/>
  <c r="M60" i="1"/>
  <c r="M29" i="1"/>
  <c r="P19" i="1"/>
  <c r="P29" i="1" s="1"/>
  <c r="P25" i="1"/>
  <c r="M18" i="1"/>
  <c r="J28" i="1"/>
  <c r="S29" i="1" l="1"/>
  <c r="S39" i="1"/>
  <c r="S19" i="1"/>
  <c r="M17" i="1"/>
  <c r="J27" i="1"/>
  <c r="J32" i="1" s="1"/>
  <c r="J22" i="1"/>
  <c r="E64" i="1"/>
  <c r="D66" i="1" s="1"/>
  <c r="S37" i="1"/>
  <c r="S60" i="1"/>
  <c r="G32" i="1"/>
  <c r="G34" i="1" s="1"/>
  <c r="S25" i="1"/>
  <c r="M28" i="1"/>
  <c r="P18" i="1"/>
  <c r="P28" i="1" s="1"/>
  <c r="S28" i="1" l="1"/>
  <c r="S18" i="1"/>
  <c r="G62" i="1"/>
  <c r="M27" i="1"/>
  <c r="P17" i="1"/>
  <c r="M22" i="1"/>
  <c r="D68" i="1"/>
  <c r="J34" i="1"/>
  <c r="J62" i="1" s="1"/>
  <c r="P27" i="1" l="1"/>
  <c r="P32" i="1" s="1"/>
  <c r="P22" i="1"/>
  <c r="S22" i="1" s="1"/>
  <c r="S17" i="1"/>
  <c r="K64" i="1"/>
  <c r="J66" i="1" s="1"/>
  <c r="J68" i="1" s="1"/>
  <c r="M32" i="1"/>
  <c r="H64" i="1"/>
  <c r="G66" i="1" s="1"/>
  <c r="G68" i="1" s="1"/>
  <c r="S32" i="1" l="1"/>
  <c r="P34" i="1"/>
  <c r="P62" i="1" s="1"/>
  <c r="S27" i="1"/>
  <c r="M34" i="1"/>
  <c r="M62" i="1" l="1"/>
  <c r="S34" i="1"/>
  <c r="Q64" i="1"/>
  <c r="P66" i="1" s="1"/>
  <c r="P68" i="1" s="1"/>
  <c r="N64" i="1" l="1"/>
  <c r="M66" i="1" s="1"/>
  <c r="S66" i="1" s="1"/>
  <c r="S62" i="1"/>
  <c r="M68" i="1" l="1"/>
  <c r="S6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Lawler, Erica M</author>
  </authors>
  <commentList>
    <comment ref="H7" authorId="0" shapeId="0" xr:uid="{00000000-0006-0000-0100-000001000000}">
      <text>
        <r>
          <rPr>
            <b/>
            <sz val="9"/>
            <color indexed="81"/>
            <rFont val="Tahoma"/>
            <family val="2"/>
          </rPr>
          <t>Lawler, Erica M:</t>
        </r>
        <r>
          <rPr>
            <sz val="9"/>
            <color indexed="81"/>
            <rFont val="Tahoma"/>
            <family val="2"/>
          </rPr>
          <t xml:space="preserve">
Enter contract salary</t>
        </r>
      </text>
    </comment>
    <comment ref="I7" authorId="0" shapeId="0" xr:uid="{00000000-0006-0000-0100-000002000000}">
      <text>
        <r>
          <rPr>
            <b/>
            <sz val="9"/>
            <color indexed="81"/>
            <rFont val="Tahoma"/>
            <family val="2"/>
          </rPr>
          <t>Lawler, Erica M:</t>
        </r>
        <r>
          <rPr>
            <sz val="9"/>
            <color indexed="81"/>
            <rFont val="Tahoma"/>
            <family val="2"/>
          </rPr>
          <t xml:space="preserve">
Divide by 9 for ACAD (instructional faculty) or 12 for CAL (research faculty)</t>
        </r>
      </text>
    </comment>
    <comment ref="C15" authorId="0" shapeId="0" xr:uid="{00000000-0006-0000-0100-000003000000}">
      <text>
        <r>
          <rPr>
            <b/>
            <sz val="9"/>
            <color indexed="81"/>
            <rFont val="Tahoma"/>
            <family val="2"/>
          </rPr>
          <t>Lawler, Erica M:</t>
        </r>
        <r>
          <rPr>
            <sz val="9"/>
            <color indexed="81"/>
            <rFont val="Tahoma"/>
            <family val="2"/>
          </rPr>
          <t xml:space="preserve">
PI effort in months
</t>
        </r>
      </text>
    </comment>
    <comment ref="D53" authorId="0" shapeId="0" xr:uid="{00000000-0006-0000-0100-000004000000}">
      <text>
        <r>
          <rPr>
            <b/>
            <sz val="9"/>
            <color indexed="81"/>
            <rFont val="Tahoma"/>
            <family val="2"/>
          </rPr>
          <t>Lawler, Erica M:</t>
        </r>
        <r>
          <rPr>
            <sz val="9"/>
            <color indexed="81"/>
            <rFont val="Tahoma"/>
            <family val="2"/>
          </rPr>
          <t xml:space="preserve">
Enter the amount to be paid to your sub in year one, not the cumulative amount.</t>
        </r>
      </text>
    </comment>
    <comment ref="A55" authorId="0" shapeId="0" xr:uid="{00000000-0006-0000-0100-000005000000}">
      <text>
        <r>
          <rPr>
            <b/>
            <sz val="9"/>
            <color indexed="81"/>
            <rFont val="Tahoma"/>
            <family val="2"/>
          </rPr>
          <t>Lawler, Erica M:</t>
        </r>
        <r>
          <rPr>
            <sz val="9"/>
            <color indexed="81"/>
            <rFont val="Tahoma"/>
            <family val="2"/>
          </rPr>
          <t xml:space="preserve">
714210 can be used for Graduate Scholarships. Both codes are excluded from MTDC F&amp;A calc.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Lawler, Erica M</author>
  </authors>
  <commentList>
    <comment ref="B11" authorId="0" shapeId="0" xr:uid="{00000000-0006-0000-0300-000001000000}">
      <text>
        <r>
          <rPr>
            <b/>
            <sz val="9"/>
            <color indexed="81"/>
            <rFont val="Tahoma"/>
            <family val="2"/>
          </rPr>
          <t>Lawler, Erica M:</t>
        </r>
        <r>
          <rPr>
            <sz val="9"/>
            <color indexed="81"/>
            <rFont val="Tahoma"/>
            <family val="2"/>
          </rPr>
          <t xml:space="preserve">
Assumption is full match. Enter zero if you know this person does not participate.</t>
        </r>
      </text>
    </comment>
  </commentList>
</comments>
</file>

<file path=xl/sharedStrings.xml><?xml version="1.0" encoding="utf-8"?>
<sst xmlns="http://schemas.openxmlformats.org/spreadsheetml/2006/main" count="232" uniqueCount="183">
  <si>
    <t>Personnel</t>
  </si>
  <si>
    <t>total</t>
  </si>
  <si>
    <t>total direct</t>
  </si>
  <si>
    <t>total other</t>
  </si>
  <si>
    <t>Publication costs</t>
  </si>
  <si>
    <t>PI</t>
  </si>
  <si>
    <t>total part supp</t>
  </si>
  <si>
    <t>total fringe</t>
  </si>
  <si>
    <t>total salary</t>
  </si>
  <si>
    <t>total travel</t>
  </si>
  <si>
    <t>Consultant</t>
  </si>
  <si>
    <t>Faculty</t>
  </si>
  <si>
    <t>Faculty Salary escalator</t>
  </si>
  <si>
    <t>Student Salary escalator</t>
  </si>
  <si>
    <t>Tuition Escalator</t>
  </si>
  <si>
    <t>Health Escalator</t>
  </si>
  <si>
    <t>total t&amp;h&amp;o</t>
  </si>
  <si>
    <t>F&amp;A (indirect)</t>
  </si>
  <si>
    <t>Travel and Other Escalator</t>
  </si>
  <si>
    <t>Student FICA should only be charged for summer effort, unless enrolled part-time in classes.</t>
  </si>
  <si>
    <t>Fringe Assumption: 7.65% for salaries.  Adjustment may be required.</t>
  </si>
  <si>
    <t>Principal Investigator</t>
  </si>
  <si>
    <t>Sponsor</t>
  </si>
  <si>
    <t>Title</t>
  </si>
  <si>
    <t>Award Number</t>
  </si>
  <si>
    <t>Grant Number</t>
  </si>
  <si>
    <t>Acct Code</t>
  </si>
  <si>
    <t>Wage Employee (technician, etc.)</t>
  </si>
  <si>
    <t>Graduate Student</t>
  </si>
  <si>
    <t>Undergraduate Student</t>
  </si>
  <si>
    <t>Subrecipient</t>
  </si>
  <si>
    <t>Graduate Stipend:</t>
  </si>
  <si>
    <t>Grad Tuition:</t>
  </si>
  <si>
    <t>Grad Health:</t>
  </si>
  <si>
    <t>Wage Employee (technician etc.)</t>
  </si>
  <si>
    <t># Students</t>
  </si>
  <si>
    <t>Undergrad:</t>
  </si>
  <si>
    <t>Student Support Level</t>
  </si>
  <si>
    <t>Tuition</t>
  </si>
  <si>
    <t>Graduate Health Insurance</t>
  </si>
  <si>
    <t>Social Security</t>
  </si>
  <si>
    <t>Medicare</t>
  </si>
  <si>
    <t>Group Life</t>
  </si>
  <si>
    <t>COVA Care Single</t>
  </si>
  <si>
    <t>COVA Care Employee +1</t>
  </si>
  <si>
    <t>COVA Care Family</t>
  </si>
  <si>
    <t>COVA High Deduct Single</t>
  </si>
  <si>
    <t>COVA High Deduct Employee +1</t>
  </si>
  <si>
    <t>COVA High Deduct Family</t>
  </si>
  <si>
    <t>None</t>
  </si>
  <si>
    <t>Retiree Ins Credit Premium</t>
  </si>
  <si>
    <t>VRS Rate</t>
  </si>
  <si>
    <t>Retiree Hlth Ins Prem</t>
  </si>
  <si>
    <t>VDSP &amp; Long Trm Disability</t>
  </si>
  <si>
    <t>Teachers Annuity N/A</t>
  </si>
  <si>
    <t>VDSP &amp; Long-term disability</t>
  </si>
  <si>
    <t>Deferred Comp Match</t>
  </si>
  <si>
    <t>Graduate Rec Center Fee</t>
  </si>
  <si>
    <t>Graduate Hlth Center Fee</t>
  </si>
  <si>
    <t>Grad Hlth Ctr Fee</t>
  </si>
  <si>
    <t>Grad Rec Ctr Fee</t>
  </si>
  <si>
    <t>Salary</t>
  </si>
  <si>
    <t>Fringe</t>
  </si>
  <si>
    <t>Total Personnel</t>
  </si>
  <si>
    <t>Travel</t>
  </si>
  <si>
    <t>Domestic</t>
  </si>
  <si>
    <t>Foreign</t>
  </si>
  <si>
    <t>Equipment</t>
  </si>
  <si>
    <t>Participant Support</t>
  </si>
  <si>
    <t>Other Direct Costs</t>
  </si>
  <si>
    <t>Sub-award base for indirect</t>
  </si>
  <si>
    <t>Total base for indirect</t>
  </si>
  <si>
    <t>Facilities &amp; Administrative Costs</t>
  </si>
  <si>
    <t>TOTAL PROJECT BUDGET</t>
  </si>
  <si>
    <t>Individual Fringe Calculation</t>
  </si>
  <si>
    <t>Enter Annual Salary</t>
  </si>
  <si>
    <t>FRINGE RATE SHOULD BE…</t>
  </si>
  <si>
    <t>About this worksheet: This worksheet can help you figure out the fringe rate for individuals on your project.</t>
  </si>
  <si>
    <t>Teachers Annuity rate before 01 July 2011</t>
  </si>
  <si>
    <t>Teachers Annuity rate post 01 July 2011</t>
  </si>
  <si>
    <t>Fringe Items:</t>
  </si>
  <si>
    <t>Leave Blank until funded</t>
  </si>
  <si>
    <t>Workbook assumes Graduate Students are working full-time over the summer.</t>
  </si>
  <si>
    <t>Section A: Personnel</t>
  </si>
  <si>
    <t>amount listed divided by 12.</t>
  </si>
  <si>
    <r>
      <rPr>
        <b/>
        <sz val="10"/>
        <rFont val="Arial"/>
        <family val="2"/>
      </rPr>
      <t>PI Salary</t>
    </r>
    <r>
      <rPr>
        <sz val="10"/>
        <rFont val="Arial"/>
        <family val="2"/>
      </rPr>
      <t xml:space="preserve">- Based on salary amount from NBAJOBS, calculate monthly salary amount. For Academic faculty, it will be the amount listed divided by nine. For research (calendar) faculty, it will be the </t>
    </r>
  </si>
  <si>
    <r>
      <rPr>
        <b/>
        <sz val="10"/>
        <rFont val="Arial"/>
        <family val="2"/>
      </rPr>
      <t>Other faculty</t>
    </r>
    <r>
      <rPr>
        <sz val="10"/>
        <rFont val="Arial"/>
        <family val="2"/>
      </rPr>
      <t>- same calculation as above.</t>
    </r>
  </si>
  <si>
    <r>
      <rPr>
        <b/>
        <sz val="10"/>
        <rFont val="Arial"/>
        <family val="2"/>
      </rPr>
      <t>Wage Employee/Technician-</t>
    </r>
    <r>
      <rPr>
        <sz val="10"/>
        <rFont val="Arial"/>
        <family val="2"/>
      </rPr>
      <t xml:space="preserve"> This includes Post Docs. Please be sure to note in the budget and justification that this is a post-doc position. </t>
    </r>
  </si>
  <si>
    <r>
      <rPr>
        <b/>
        <sz val="10"/>
        <rFont val="Arial"/>
        <family val="2"/>
      </rPr>
      <t>Graduate Student-</t>
    </r>
    <r>
      <rPr>
        <sz val="10"/>
        <rFont val="Arial"/>
        <family val="2"/>
      </rPr>
      <t xml:space="preserve"> This rate is determined by your department. Graduate students may have 1 of 2 effort levels- 50% year-round, or 50% Academic and 100% summer.</t>
    </r>
  </si>
  <si>
    <r>
      <rPr>
        <b/>
        <sz val="10"/>
        <rFont val="Arial"/>
        <family val="2"/>
      </rPr>
      <t>Undergraduate Student</t>
    </r>
    <r>
      <rPr>
        <sz val="10"/>
        <rFont val="Arial"/>
        <family val="2"/>
      </rPr>
      <t>- Minimum wage is $7.25, but your department may pay more than this as the going rate for undergraduate labor. Check with the Chair or Dean.</t>
    </r>
  </si>
  <si>
    <r>
      <t xml:space="preserve">***Course buyout- </t>
    </r>
    <r>
      <rPr>
        <sz val="10"/>
        <rFont val="Arial"/>
        <family val="2"/>
      </rPr>
      <t>Course buyout amounts should appear under the salary category. If a course buyout is requested, your Chair and Dean will likely be involved in determining the amount needed</t>
    </r>
  </si>
  <si>
    <t>to teach your course(s) during your research effort. Course buyouts require special care and consideration, so be sure to determine this well in advance of the proposal deadline.</t>
  </si>
  <si>
    <t>Section B: Fringes</t>
  </si>
  <si>
    <r>
      <t xml:space="preserve">FICA Only- </t>
    </r>
    <r>
      <rPr>
        <sz val="10"/>
        <rFont val="Arial"/>
        <family val="2"/>
      </rPr>
      <t xml:space="preserve">7.65% at this time. This covers Social Security and Medicare. </t>
    </r>
  </si>
  <si>
    <r>
      <t>Full Benefits-</t>
    </r>
    <r>
      <rPr>
        <sz val="10"/>
        <rFont val="Arial"/>
        <family val="2"/>
      </rPr>
      <t xml:space="preserve"> 40% is the flat rate recommended by the College to cover health insurance, disability insurance, and the other benefits listed on the Fringe Worksheet tab. If you have an entry-level wage</t>
    </r>
  </si>
  <si>
    <t>employee on a project, a higher fringe rate may be needed to cover the cost of benefits. Conversely, highly-compensated research faculty may need a lower rate to cover full benefits. The fringe worksheet in</t>
  </si>
  <si>
    <t xml:space="preserve">this workbook contains a number of drop-down fields to allow you to estime fringe rates on an individual basis. Contact Erica Lawler (emlawler@wm.edu) if you need help using this tab. </t>
  </si>
  <si>
    <t>Fringe Application</t>
  </si>
  <si>
    <t>Academic Year</t>
  </si>
  <si>
    <t>Post Docs &amp; Wage- Full benefits</t>
  </si>
  <si>
    <t>Faculty- Full benefits UNLESS work is considered overload or external paid employment. Then FICA only.</t>
  </si>
  <si>
    <t>Students- No benefits</t>
  </si>
  <si>
    <t>Summer Term</t>
  </si>
  <si>
    <t>Faculty- 12 month faculty: Full benefits UNLESS work is considered overload or external paid employment. Then FICA only.</t>
  </si>
  <si>
    <t>Faculty- 9 month faculty: FICA only</t>
  </si>
  <si>
    <t>Students- FICA only. If a student is enrolled at least half time, then no benefits at all.</t>
  </si>
  <si>
    <t>Section C: Travel</t>
  </si>
  <si>
    <t>Foreign Travel-</t>
  </si>
  <si>
    <t>Domestic Travel-</t>
  </si>
  <si>
    <t>Travel must adhere to both state and federal guidelines. Travel within Virginia is capped at $77 for lodging and $41 for Meals &amp; Incidental expenses. Travel out of state- use GSA rates.</t>
  </si>
  <si>
    <t>Foreign travel typically requires a more detailed cost estimate than does somestic travel. The State Department keeps an updated rate table based on month of travel to a specific destination.</t>
  </si>
  <si>
    <t>Be sure to use this table when coming up with your foreign travel budget. There are requirements pertaining to air carrier when traveling overseas. American carriers must be used unless specific criteria are met.</t>
  </si>
  <si>
    <t>Costs to consider when estimating foreign travel include the standard travel considerations as well as visa fees and possible currency exchange fees. Costs associated with obtaining a passport are not allowable.</t>
  </si>
  <si>
    <t>Section D: Equipment</t>
  </si>
  <si>
    <r>
      <t>Equipment-</t>
    </r>
    <r>
      <rPr>
        <sz val="10"/>
        <rFont val="Arial"/>
        <family val="2"/>
      </rPr>
      <t xml:space="preserve"> The threshold for equipment is now $5,000. Computers are not considered equipment items unless they are part of a larger server or computing system, such as a GPS tagging and tracking device.</t>
    </r>
  </si>
  <si>
    <t>Components that assemble to a value that exceeds $5,000 but individually are valued below the threshold are to be considered part of the equipment category. For example, if you are building a supercapacitor, all parts</t>
  </si>
  <si>
    <t>including copper fittings, gaskets, pumps, etc. may be grouped under the equipment category. If you have a price quote from a vendor that itemizes equipment component costs, this can be used to supplement the budget</t>
  </si>
  <si>
    <t>justification for equipment.</t>
  </si>
  <si>
    <t>Section E: Participant Support Costs</t>
  </si>
  <si>
    <t>Stipends</t>
  </si>
  <si>
    <t>Subsistence</t>
  </si>
  <si>
    <t>Other</t>
  </si>
  <si>
    <t>This category may be used to cover research subjects payments (incentives) for participation in a study. Ex: 20 students will take a survey about study behavior and receive $5 for completion. $100 should be budgeted.</t>
  </si>
  <si>
    <t>This category is generally reserved for proposals that will support the costs of hosting a conference and/or research study incentives.</t>
  </si>
  <si>
    <t>If paying for travel costs so that participants may attend a conference or training session, budget those costs here (ground/air transport, bus tickets, parking vouchers, etc.)</t>
  </si>
  <si>
    <t>If paying for lodging and/or food at a conference, budget those costs here. Ex: 1 week long summer camp for high school students interested in Physics. Put housing and meals here.</t>
  </si>
  <si>
    <t>If paying a third-party entity to recruit participants for a study, such a cost could be put here. Ex: Qualtrix conducts a W&amp;M researcher's survey and receives $3 per person surveyed.</t>
  </si>
  <si>
    <t>Section F: Other Direct Costs</t>
  </si>
  <si>
    <t>Materials &amp; Supplies</t>
  </si>
  <si>
    <t>Publication Costs</t>
  </si>
  <si>
    <t>Sub-recipient</t>
  </si>
  <si>
    <t>Grad Health Ins</t>
  </si>
  <si>
    <t>Health Center</t>
  </si>
  <si>
    <t>Rec Center</t>
  </si>
  <si>
    <t>Consumables and items falling below the $5,000 equipment threshold. Include costs of reference materials in this line item.</t>
  </si>
  <si>
    <t>Posters, handouts for a conference, specialized printing services (creation of maps, brochures, CDs), publication fee for appearing in a journal</t>
  </si>
  <si>
    <t>If you have more than one sub-recipient, please contact OSP to have the worksheet updated so that each lower-tier award is correctly incuded in the F&amp;A calculation</t>
  </si>
  <si>
    <t>as a consultant or sub-award.</t>
  </si>
  <si>
    <t>Tuition for graduate students. Use the table at the top of the worksheet to enter the per student amount of tuition. The worksheet will autopopulate this field based on the # of students indicated for the year.</t>
  </si>
  <si>
    <t>Use the table at the top of the worksheet</t>
  </si>
  <si>
    <t>If your department covers this fee, put the dollar amount in the grad student table</t>
  </si>
  <si>
    <t>Facilities &amp; Administrative Costs (F&amp;A)</t>
  </si>
  <si>
    <t>Our Rate:</t>
  </si>
  <si>
    <t>MTDC = Total direct Costs - tuition, equipment, participant support costs, health and rec center fees, and the value of each sub-award exceeding $25,000. If you have two sub-recipients receiving $30,000 each year for three years,</t>
  </si>
  <si>
    <t>F&amp;A will only be collected on the first $25,000 in expenses on each sub-award.</t>
  </si>
  <si>
    <r>
      <t xml:space="preserve">Deviations from standard rate: </t>
    </r>
    <r>
      <rPr>
        <sz val="10"/>
        <rFont val="Arial"/>
        <family val="2"/>
      </rPr>
      <t>Deviations must be approved by the Vice Provost for research prior to submission. If a funding source limits F&amp;A to 10%, we may elect to apply the revised rate to all direct costs rather than</t>
    </r>
  </si>
  <si>
    <t xml:space="preserve">just MTDC. Work with your grants administrator in cases of rate deviation. Many foundations limit F&amp;A but full F&amp;A must be applied to all federally funded programs unless the RFA or RFP places a specific restriction. </t>
  </si>
  <si>
    <t>Example of federally-funded F&amp;A limited program: NSF REU supplements, US FWS Challenge cost share grants</t>
  </si>
  <si>
    <t>This line is for both consultants and other skilled services, such as a pilot if you are conducting aerial surveys. See our guide on sub-recipients if you aren't sure whether the arrangement qualifies</t>
  </si>
  <si>
    <t>Materials</t>
  </si>
  <si>
    <t>Post Doc</t>
  </si>
  <si>
    <t>Contractual Services</t>
  </si>
  <si>
    <t>The travel estimator below feeds directly into the main proposal budget tab.</t>
  </si>
  <si>
    <t>Year One</t>
  </si>
  <si>
    <t>Domestic Trip 1</t>
  </si>
  <si>
    <t>Domestic Trip 2</t>
  </si>
  <si>
    <t>If you require more than 6 trips per year, please contact OSP.</t>
  </si>
  <si>
    <t>Domestic Trip 3</t>
  </si>
  <si>
    <t>Domestic Trip 4</t>
  </si>
  <si>
    <t>International Trip 1</t>
  </si>
  <si>
    <t>International Trip 2</t>
  </si>
  <si>
    <t>Year One Total Travel</t>
  </si>
  <si>
    <t>Year Two Total Travel</t>
  </si>
  <si>
    <t>Year Three Total Travel</t>
  </si>
  <si>
    <t>Year Four Total Travel</t>
  </si>
  <si>
    <t>Year Five Total Travel</t>
  </si>
  <si>
    <t># Travelers</t>
  </si>
  <si>
    <t># Days</t>
  </si>
  <si>
    <t>M&amp;IE</t>
  </si>
  <si>
    <t>Lodging</t>
  </si>
  <si>
    <t>Airfare</t>
  </si>
  <si>
    <t>Ground Transport</t>
  </si>
  <si>
    <t>Total</t>
  </si>
  <si>
    <t>2021-2022</t>
  </si>
  <si>
    <t>PI Salary</t>
  </si>
  <si>
    <t>PI Mo. Salary</t>
  </si>
  <si>
    <t>Costs to consider when estimating travel include ground and air transportation (don't forget baggage fees), mileage rates if driving (generally 57.5 cents per mile), conference registration, lodging, and M&amp;IE.</t>
  </si>
  <si>
    <t>FOR INFORMATION REGARDING CURRENT TRAVEL REGULATIONS, VISIT: http://www.wm.edu/offices/financialoperations/travel/index.php</t>
  </si>
  <si>
    <t xml:space="preserve">F&amp;A is negotiated on a biennial basis. Our cognizant agency is the Office of Naval Research and is 41.8% of Modified Total Direct Costs. </t>
  </si>
  <si>
    <t>2023-2024</t>
  </si>
  <si>
    <t>2024-2025</t>
  </si>
  <si>
    <t>2025-2026</t>
  </si>
  <si>
    <t>2026-2027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</si>
</sst>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quot;$&quot;#,##0.00"/>
    <numFmt numFmtId="165" formatCode="0.000%"/>
    <numFmt numFmtId="166" formatCode="0.0000"/>
    <numFmt numFmtId="167" formatCode="&quot;$&quot;#,##0.0000"/>
  </numFmts>
  <fonts count="13" x14ac:knownFonts="1">
    <font>
      <sz val="10"/>
      <name val="Arial"/>
    </font>
    <font>
      <sz val="8"/>
      <name val="Arial"/>
      <family val="2"/>
    </font>
    <font>
      <b/>
      <sz val="10"/>
      <name val="Arial"/>
      <family val="2"/>
    </font>
    <font>
      <sz val="10"/>
      <name val="Arial"/>
      <family val="2"/>
    </font>
    <font>
      <i/>
      <sz val="10"/>
      <name val="Arial"/>
      <family val="2"/>
    </font>
    <font>
      <b/>
      <sz val="12"/>
      <name val="Arial"/>
      <family val="2"/>
    </font>
    <font>
      <sz val="9"/>
      <color indexed="81"/>
      <name val="Tahoma"/>
      <family val="2"/>
    </font>
    <font>
      <b/>
      <sz val="9"/>
      <color indexed="81"/>
      <name val="Tahoma"/>
      <family val="2"/>
    </font>
    <font>
      <b/>
      <i/>
      <sz val="10"/>
      <name val="Arial"/>
      <family val="2"/>
    </font>
    <font>
      <b/>
      <sz val="11"/>
      <name val="Arial"/>
      <family val="2"/>
    </font>
    <font>
      <i/>
      <sz val="12"/>
      <name val="Arial"/>
      <family val="2"/>
    </font>
    <font>
      <b/>
      <u/>
      <sz val="11"/>
      <name val="Arial"/>
      <family val="2"/>
    </font>
    <font>
      <u/>
      <sz val="10"/>
      <color theme="10"/>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1">
    <border>
      <left/>
      <right/>
      <top/>
      <bottom/>
      <diagonal/>
    </border>
  </borders>
  <cellStyleXfs count="2">
    <xf numFmtId="0" fontId="0" fillId="0" borderId="0"/>
    <xf numFmtId="0" fontId="12" fillId="0" borderId="0" applyNumberFormat="0" applyFill="0" applyBorder="0" applyAlignment="0" applyProtection="0"/>
  </cellStyleXfs>
  <cellXfs count="36">
    <xf numFmtId="0" fontId="0" fillId="0" borderId="0" xfId="0"/>
    <xf numFmtId="0" fontId="2" fillId="0" borderId="0" xfId="0" applyFont="1"/>
    <xf numFmtId="0" fontId="3" fillId="0" borderId="0" xfId="0" applyFont="1"/>
    <xf numFmtId="10" fontId="0" fillId="0" borderId="0" xfId="0" applyNumberFormat="1"/>
    <xf numFmtId="0" fontId="0" fillId="0" borderId="0" xfId="0" applyFill="1"/>
    <xf numFmtId="0" fontId="4" fillId="0" borderId="0" xfId="0" applyFont="1"/>
    <xf numFmtId="0" fontId="2" fillId="0" borderId="0" xfId="0" applyFont="1" applyFill="1"/>
    <xf numFmtId="14" fontId="1" fillId="0" borderId="0" xfId="0" applyNumberFormat="1" applyFont="1"/>
    <xf numFmtId="1" fontId="0" fillId="0" borderId="0" xfId="0" applyNumberFormat="1"/>
    <xf numFmtId="1" fontId="0" fillId="0" borderId="0" xfId="0" applyNumberFormat="1" applyFill="1"/>
    <xf numFmtId="1" fontId="2" fillId="0" borderId="0" xfId="0" applyNumberFormat="1" applyFont="1"/>
    <xf numFmtId="1" fontId="2" fillId="0" borderId="0" xfId="0" applyNumberFormat="1" applyFont="1" applyFill="1"/>
    <xf numFmtId="1" fontId="4" fillId="0" borderId="0" xfId="0" applyNumberFormat="1" applyFont="1"/>
    <xf numFmtId="1" fontId="4" fillId="0" borderId="0" xfId="0" applyNumberFormat="1" applyFont="1" applyFill="1"/>
    <xf numFmtId="0" fontId="5" fillId="0" borderId="0" xfId="0" applyFont="1"/>
    <xf numFmtId="0" fontId="8" fillId="0" borderId="0" xfId="0" applyFont="1"/>
    <xf numFmtId="0" fontId="5" fillId="0" borderId="0" xfId="0" applyNumberFormat="1" applyFont="1"/>
    <xf numFmtId="6" fontId="0" fillId="0" borderId="0" xfId="0" applyNumberFormat="1"/>
    <xf numFmtId="164" fontId="0" fillId="0" borderId="0" xfId="0" applyNumberFormat="1"/>
    <xf numFmtId="0" fontId="0" fillId="0" borderId="0" xfId="0" applyNumberFormat="1"/>
    <xf numFmtId="165" fontId="2" fillId="0" borderId="0" xfId="0" applyNumberFormat="1" applyFont="1"/>
    <xf numFmtId="1" fontId="3" fillId="0" borderId="0" xfId="0" applyNumberFormat="1" applyFont="1" applyFill="1"/>
    <xf numFmtId="1" fontId="0" fillId="2" borderId="0" xfId="0" applyNumberFormat="1" applyFill="1"/>
    <xf numFmtId="1" fontId="2" fillId="2" borderId="0" xfId="0" applyNumberFormat="1" applyFont="1" applyFill="1"/>
    <xf numFmtId="0" fontId="9" fillId="0" borderId="0" xfId="0" applyFont="1"/>
    <xf numFmtId="1" fontId="9" fillId="0" borderId="0" xfId="0" applyNumberFormat="1" applyFont="1"/>
    <xf numFmtId="1" fontId="9" fillId="0" borderId="0" xfId="0" applyNumberFormat="1" applyFont="1" applyFill="1"/>
    <xf numFmtId="166" fontId="0" fillId="0" borderId="0" xfId="0" applyNumberFormat="1"/>
    <xf numFmtId="167" fontId="3" fillId="0" borderId="0" xfId="0" applyNumberFormat="1" applyFont="1"/>
    <xf numFmtId="0" fontId="10" fillId="0" borderId="0" xfId="0" applyNumberFormat="1" applyFont="1"/>
    <xf numFmtId="0" fontId="11" fillId="0" borderId="0" xfId="0" applyFont="1"/>
    <xf numFmtId="0" fontId="12" fillId="0" borderId="0" xfId="1"/>
    <xf numFmtId="0" fontId="3" fillId="3" borderId="0" xfId="0" applyFont="1" applyFill="1"/>
    <xf numFmtId="0" fontId="2" fillId="0" borderId="0" xfId="0" applyFont="1" applyAlignment="1">
      <alignment horizontal="right"/>
    </xf>
    <xf numFmtId="0" fontId="2" fillId="0" borderId="0" xfId="0" applyFont="1" applyAlignment="1">
      <alignment horizontal="center"/>
    </xf>
    <xf numFmtId="0" fontId="4"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3"/>
  <sheetViews>
    <sheetView topLeftCell="A65" workbookViewId="0">
      <selection activeCell="B59" sqref="B59"/>
    </sheetView>
  </sheetViews>
  <sheetFormatPr defaultRowHeight="12.75" x14ac:dyDescent="0.2"/>
  <cols>
    <col min="1" max="1" width="11.28515625" customWidth="1"/>
  </cols>
  <sheetData>
    <row r="1" spans="1:1" ht="15" x14ac:dyDescent="0.25">
      <c r="A1" s="30" t="s">
        <v>83</v>
      </c>
    </row>
    <row r="2" spans="1:1" x14ac:dyDescent="0.2">
      <c r="A2" s="2" t="s">
        <v>85</v>
      </c>
    </row>
    <row r="3" spans="1:1" x14ac:dyDescent="0.2">
      <c r="A3" s="2" t="s">
        <v>84</v>
      </c>
    </row>
    <row r="4" spans="1:1" x14ac:dyDescent="0.2">
      <c r="A4" s="2" t="s">
        <v>86</v>
      </c>
    </row>
    <row r="5" spans="1:1" x14ac:dyDescent="0.2">
      <c r="A5" s="2" t="s">
        <v>87</v>
      </c>
    </row>
    <row r="6" spans="1:1" x14ac:dyDescent="0.2">
      <c r="A6" s="2" t="s">
        <v>88</v>
      </c>
    </row>
    <row r="7" spans="1:1" x14ac:dyDescent="0.2">
      <c r="A7" s="2" t="s">
        <v>89</v>
      </c>
    </row>
    <row r="8" spans="1:1" x14ac:dyDescent="0.2">
      <c r="A8" s="1" t="s">
        <v>90</v>
      </c>
    </row>
    <row r="9" spans="1:1" x14ac:dyDescent="0.2">
      <c r="A9" s="2" t="s">
        <v>91</v>
      </c>
    </row>
    <row r="11" spans="1:1" ht="15" x14ac:dyDescent="0.25">
      <c r="A11" s="30" t="s">
        <v>92</v>
      </c>
    </row>
    <row r="12" spans="1:1" x14ac:dyDescent="0.2">
      <c r="A12" s="1" t="s">
        <v>93</v>
      </c>
    </row>
    <row r="13" spans="1:1" x14ac:dyDescent="0.2">
      <c r="A13" s="1" t="s">
        <v>94</v>
      </c>
    </row>
    <row r="14" spans="1:1" x14ac:dyDescent="0.2">
      <c r="A14" s="2" t="s">
        <v>95</v>
      </c>
    </row>
    <row r="15" spans="1:1" x14ac:dyDescent="0.2">
      <c r="A15" s="2" t="s">
        <v>96</v>
      </c>
    </row>
    <row r="16" spans="1:1" x14ac:dyDescent="0.2">
      <c r="A16" s="1" t="s">
        <v>97</v>
      </c>
    </row>
    <row r="17" spans="1:20" x14ac:dyDescent="0.2">
      <c r="A17" s="1"/>
      <c r="B17" s="15" t="s">
        <v>98</v>
      </c>
    </row>
    <row r="18" spans="1:20" x14ac:dyDescent="0.2">
      <c r="B18" s="2" t="s">
        <v>100</v>
      </c>
    </row>
    <row r="19" spans="1:20" x14ac:dyDescent="0.2">
      <c r="B19" s="2" t="s">
        <v>99</v>
      </c>
    </row>
    <row r="20" spans="1:20" x14ac:dyDescent="0.2">
      <c r="B20" s="2" t="s">
        <v>101</v>
      </c>
    </row>
    <row r="21" spans="1:20" x14ac:dyDescent="0.2">
      <c r="B21" s="15" t="s">
        <v>102</v>
      </c>
    </row>
    <row r="22" spans="1:20" x14ac:dyDescent="0.2">
      <c r="B22" s="2" t="s">
        <v>103</v>
      </c>
    </row>
    <row r="23" spans="1:20" x14ac:dyDescent="0.2">
      <c r="B23" s="2" t="s">
        <v>104</v>
      </c>
    </row>
    <row r="24" spans="1:20" x14ac:dyDescent="0.2">
      <c r="B24" s="2" t="s">
        <v>99</v>
      </c>
    </row>
    <row r="25" spans="1:20" x14ac:dyDescent="0.2">
      <c r="B25" s="2" t="s">
        <v>105</v>
      </c>
    </row>
    <row r="26" spans="1:20" x14ac:dyDescent="0.2">
      <c r="B26" s="2"/>
    </row>
    <row r="27" spans="1:20" ht="15" x14ac:dyDescent="0.25">
      <c r="A27" s="30" t="s">
        <v>106</v>
      </c>
      <c r="C27" t="s">
        <v>177</v>
      </c>
    </row>
    <row r="28" spans="1:20" x14ac:dyDescent="0.2">
      <c r="A28" s="1" t="s">
        <v>108</v>
      </c>
      <c r="C28" s="2" t="s">
        <v>109</v>
      </c>
    </row>
    <row r="29" spans="1:20" x14ac:dyDescent="0.2">
      <c r="A29" s="2" t="s">
        <v>176</v>
      </c>
      <c r="T29" s="31" t="str">
        <f>HYPERLINK("http://www.gsa.gov/portal/category/21287","GSA per diem Table")</f>
        <v>GSA per diem Table</v>
      </c>
    </row>
    <row r="30" spans="1:20" x14ac:dyDescent="0.2">
      <c r="A30" s="1" t="s">
        <v>107</v>
      </c>
      <c r="C30" s="2" t="s">
        <v>110</v>
      </c>
    </row>
    <row r="31" spans="1:20" x14ac:dyDescent="0.2">
      <c r="A31" s="2" t="s">
        <v>111</v>
      </c>
      <c r="T31" s="31" t="str">
        <f>HYPERLINK("http://aoprals.state.gov/web920/per_diem.asp","Foreign per diem Table")</f>
        <v>Foreign per diem Table</v>
      </c>
    </row>
    <row r="32" spans="1:20" x14ac:dyDescent="0.2">
      <c r="A32" s="2" t="s">
        <v>112</v>
      </c>
    </row>
    <row r="34" spans="1:5" ht="15" x14ac:dyDescent="0.25">
      <c r="A34" s="30" t="s">
        <v>113</v>
      </c>
    </row>
    <row r="35" spans="1:5" x14ac:dyDescent="0.2">
      <c r="A35" s="1" t="s">
        <v>114</v>
      </c>
    </row>
    <row r="36" spans="1:5" x14ac:dyDescent="0.2">
      <c r="A36" s="2" t="s">
        <v>115</v>
      </c>
    </row>
    <row r="37" spans="1:5" x14ac:dyDescent="0.2">
      <c r="A37" s="2" t="s">
        <v>116</v>
      </c>
    </row>
    <row r="38" spans="1:5" x14ac:dyDescent="0.2">
      <c r="A38" s="2" t="s">
        <v>117</v>
      </c>
    </row>
    <row r="40" spans="1:5" ht="15" x14ac:dyDescent="0.25">
      <c r="A40" s="30" t="s">
        <v>118</v>
      </c>
      <c r="E40" s="2" t="s">
        <v>123</v>
      </c>
    </row>
    <row r="41" spans="1:5" x14ac:dyDescent="0.2">
      <c r="A41" s="1" t="s">
        <v>119</v>
      </c>
      <c r="B41" s="2" t="s">
        <v>122</v>
      </c>
    </row>
    <row r="42" spans="1:5" x14ac:dyDescent="0.2">
      <c r="A42" s="1" t="s">
        <v>64</v>
      </c>
      <c r="B42" s="2" t="s">
        <v>124</v>
      </c>
    </row>
    <row r="43" spans="1:5" x14ac:dyDescent="0.2">
      <c r="A43" s="1" t="s">
        <v>120</v>
      </c>
      <c r="B43" s="2" t="s">
        <v>125</v>
      </c>
    </row>
    <row r="44" spans="1:5" x14ac:dyDescent="0.2">
      <c r="A44" s="1" t="s">
        <v>121</v>
      </c>
      <c r="B44" s="2" t="s">
        <v>126</v>
      </c>
    </row>
    <row r="46" spans="1:5" ht="15" x14ac:dyDescent="0.25">
      <c r="A46" s="30" t="s">
        <v>127</v>
      </c>
    </row>
    <row r="47" spans="1:5" x14ac:dyDescent="0.2">
      <c r="A47" s="1" t="s">
        <v>128</v>
      </c>
      <c r="C47" s="2" t="s">
        <v>134</v>
      </c>
    </row>
    <row r="48" spans="1:5" x14ac:dyDescent="0.2">
      <c r="A48" s="1" t="s">
        <v>129</v>
      </c>
      <c r="C48" s="2" t="s">
        <v>135</v>
      </c>
    </row>
    <row r="49" spans="1:3" x14ac:dyDescent="0.2">
      <c r="A49" s="1" t="s">
        <v>130</v>
      </c>
      <c r="C49" s="2" t="s">
        <v>136</v>
      </c>
    </row>
    <row r="50" spans="1:3" x14ac:dyDescent="0.2">
      <c r="A50" s="1" t="s">
        <v>10</v>
      </c>
      <c r="C50" s="2" t="s">
        <v>148</v>
      </c>
    </row>
    <row r="51" spans="1:3" x14ac:dyDescent="0.2">
      <c r="A51" s="1"/>
      <c r="C51" s="2" t="s">
        <v>137</v>
      </c>
    </row>
    <row r="52" spans="1:3" x14ac:dyDescent="0.2">
      <c r="A52" s="1" t="s">
        <v>38</v>
      </c>
      <c r="C52" s="2" t="s">
        <v>138</v>
      </c>
    </row>
    <row r="53" spans="1:3" x14ac:dyDescent="0.2">
      <c r="A53" s="1" t="s">
        <v>131</v>
      </c>
      <c r="C53" s="2" t="s">
        <v>139</v>
      </c>
    </row>
    <row r="54" spans="1:3" x14ac:dyDescent="0.2">
      <c r="A54" s="1" t="s">
        <v>132</v>
      </c>
      <c r="C54" s="2" t="s">
        <v>140</v>
      </c>
    </row>
    <row r="55" spans="1:3" x14ac:dyDescent="0.2">
      <c r="A55" s="1" t="s">
        <v>133</v>
      </c>
      <c r="C55" s="2" t="s">
        <v>140</v>
      </c>
    </row>
    <row r="57" spans="1:3" ht="15" x14ac:dyDescent="0.25">
      <c r="A57" s="30" t="s">
        <v>141</v>
      </c>
    </row>
    <row r="58" spans="1:3" x14ac:dyDescent="0.2">
      <c r="A58" s="1" t="s">
        <v>142</v>
      </c>
      <c r="B58" s="2" t="s">
        <v>178</v>
      </c>
    </row>
    <row r="59" spans="1:3" x14ac:dyDescent="0.2">
      <c r="A59" s="2" t="s">
        <v>143</v>
      </c>
    </row>
    <row r="60" spans="1:3" x14ac:dyDescent="0.2">
      <c r="A60" s="2" t="s">
        <v>144</v>
      </c>
    </row>
    <row r="61" spans="1:3" x14ac:dyDescent="0.2">
      <c r="A61" s="1" t="s">
        <v>145</v>
      </c>
    </row>
    <row r="62" spans="1:3" x14ac:dyDescent="0.2">
      <c r="A62" s="2" t="s">
        <v>146</v>
      </c>
    </row>
    <row r="63" spans="1:3" x14ac:dyDescent="0.2">
      <c r="A63" s="2" t="s">
        <v>147</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P68"/>
  <sheetViews>
    <sheetView tabSelected="1" zoomScale="90" zoomScaleNormal="90" workbookViewId="0">
      <pane ySplit="11" topLeftCell="A42" activePane="bottomLeft" state="frozen"/>
      <selection pane="bottomLeft" activeCell="R49" sqref="R49"/>
    </sheetView>
  </sheetViews>
  <sheetFormatPr defaultRowHeight="12.75" x14ac:dyDescent="0.2"/>
  <cols>
    <col min="1" max="1" width="10.28515625" bestFit="1" customWidth="1"/>
    <col min="2" max="2" width="25.42578125" bestFit="1" customWidth="1"/>
    <col min="14" max="14" width="17" bestFit="1" customWidth="1"/>
  </cols>
  <sheetData>
    <row r="1" spans="1:20" x14ac:dyDescent="0.2">
      <c r="C1" s="3">
        <v>1.03</v>
      </c>
      <c r="D1" t="s">
        <v>12</v>
      </c>
      <c r="G1" t="s">
        <v>20</v>
      </c>
    </row>
    <row r="2" spans="1:20" x14ac:dyDescent="0.2">
      <c r="C2" s="3">
        <v>1.03</v>
      </c>
      <c r="D2" t="s">
        <v>13</v>
      </c>
      <c r="G2" t="s">
        <v>19</v>
      </c>
    </row>
    <row r="3" spans="1:20" x14ac:dyDescent="0.2">
      <c r="C3" s="3">
        <v>1.0980000000000001</v>
      </c>
      <c r="D3" t="s">
        <v>14</v>
      </c>
      <c r="G3" s="1" t="s">
        <v>82</v>
      </c>
      <c r="K3" s="2"/>
    </row>
    <row r="4" spans="1:20" x14ac:dyDescent="0.2">
      <c r="C4" s="3">
        <v>1.05</v>
      </c>
      <c r="D4" t="s">
        <v>15</v>
      </c>
      <c r="G4" s="3">
        <v>0.44</v>
      </c>
      <c r="H4" t="s">
        <v>17</v>
      </c>
      <c r="J4" s="1"/>
      <c r="K4" s="2"/>
    </row>
    <row r="5" spans="1:20" x14ac:dyDescent="0.2">
      <c r="C5" s="3">
        <v>1.03</v>
      </c>
      <c r="D5" t="s">
        <v>18</v>
      </c>
      <c r="J5" s="7"/>
      <c r="K5" s="2"/>
    </row>
    <row r="6" spans="1:20" ht="15.75" x14ac:dyDescent="0.25">
      <c r="B6" s="14" t="s">
        <v>21</v>
      </c>
      <c r="C6" s="16"/>
      <c r="H6" s="15" t="s">
        <v>174</v>
      </c>
      <c r="I6" s="15" t="s">
        <v>175</v>
      </c>
      <c r="J6" s="7"/>
      <c r="K6" s="15" t="s">
        <v>37</v>
      </c>
    </row>
    <row r="7" spans="1:20" ht="15.75" x14ac:dyDescent="0.25">
      <c r="B7" s="14" t="s">
        <v>22</v>
      </c>
      <c r="C7" s="16"/>
      <c r="H7" s="17">
        <v>0</v>
      </c>
      <c r="I7" s="17">
        <f>H7/9</f>
        <v>0</v>
      </c>
      <c r="J7" s="7"/>
      <c r="K7" s="5" t="s">
        <v>31</v>
      </c>
      <c r="L7" s="5"/>
      <c r="M7" s="5">
        <v>0</v>
      </c>
      <c r="N7" s="5" t="s">
        <v>36</v>
      </c>
      <c r="O7" s="5">
        <v>0</v>
      </c>
    </row>
    <row r="8" spans="1:20" ht="15.75" x14ac:dyDescent="0.25">
      <c r="B8" s="14" t="s">
        <v>23</v>
      </c>
      <c r="C8" s="16"/>
      <c r="J8" s="7"/>
      <c r="K8" s="5" t="s">
        <v>32</v>
      </c>
      <c r="L8" s="5"/>
      <c r="M8" s="5">
        <v>0</v>
      </c>
      <c r="N8" s="5" t="s">
        <v>59</v>
      </c>
      <c r="O8" s="5">
        <v>0</v>
      </c>
    </row>
    <row r="9" spans="1:20" ht="15.75" x14ac:dyDescent="0.25">
      <c r="B9" s="14" t="s">
        <v>24</v>
      </c>
      <c r="C9" s="29" t="s">
        <v>81</v>
      </c>
      <c r="J9" s="7"/>
      <c r="K9" s="5" t="s">
        <v>33</v>
      </c>
      <c r="L9" s="5"/>
      <c r="M9" s="5">
        <v>0</v>
      </c>
      <c r="N9" s="5" t="s">
        <v>60</v>
      </c>
      <c r="O9" s="5">
        <v>0</v>
      </c>
    </row>
    <row r="10" spans="1:20" ht="15.75" x14ac:dyDescent="0.25">
      <c r="B10" s="14" t="s">
        <v>25</v>
      </c>
      <c r="C10" s="29" t="s">
        <v>81</v>
      </c>
    </row>
    <row r="11" spans="1:20" x14ac:dyDescent="0.2">
      <c r="A11" s="1" t="s">
        <v>26</v>
      </c>
      <c r="D11" s="1" t="s">
        <v>173</v>
      </c>
      <c r="E11" s="1"/>
      <c r="F11" s="6"/>
      <c r="G11" s="1" t="s">
        <v>179</v>
      </c>
      <c r="H11" s="1"/>
      <c r="I11" s="1"/>
      <c r="J11" s="1" t="s">
        <v>180</v>
      </c>
      <c r="K11" s="1"/>
      <c r="L11" s="1"/>
      <c r="M11" s="1" t="s">
        <v>181</v>
      </c>
      <c r="N11" s="1"/>
      <c r="O11" s="1"/>
      <c r="P11" s="1" t="s">
        <v>182</v>
      </c>
      <c r="Q11" s="1"/>
      <c r="R11" s="1"/>
      <c r="S11" s="1" t="s">
        <v>1</v>
      </c>
    </row>
    <row r="12" spans="1:20" x14ac:dyDescent="0.2">
      <c r="F12" s="4"/>
    </row>
    <row r="13" spans="1:20" x14ac:dyDescent="0.2">
      <c r="B13" s="1" t="s">
        <v>0</v>
      </c>
      <c r="F13" s="4"/>
    </row>
    <row r="14" spans="1:20" x14ac:dyDescent="0.2">
      <c r="B14" s="1" t="s">
        <v>61</v>
      </c>
      <c r="C14" s="2" t="s">
        <v>35</v>
      </c>
      <c r="F14" s="4"/>
    </row>
    <row r="15" spans="1:20" x14ac:dyDescent="0.2">
      <c r="A15">
        <v>611200</v>
      </c>
      <c r="B15" t="s">
        <v>5</v>
      </c>
      <c r="D15" s="9">
        <f>C15*I7</f>
        <v>0</v>
      </c>
      <c r="E15" s="9"/>
      <c r="F15" s="9"/>
      <c r="G15" s="9">
        <f>ROUND((D15*C1),0)</f>
        <v>0</v>
      </c>
      <c r="H15" s="9"/>
      <c r="I15" s="9"/>
      <c r="J15" s="9">
        <f>ROUND((G15*C1),0)</f>
        <v>0</v>
      </c>
      <c r="K15" s="9"/>
      <c r="L15" s="9"/>
      <c r="M15" s="9">
        <f>ROUND((J15*C1),0)</f>
        <v>0</v>
      </c>
      <c r="N15" s="9"/>
      <c r="O15" s="9"/>
      <c r="P15" s="9">
        <f>ROUND((M15*C1),0)</f>
        <v>0</v>
      </c>
      <c r="Q15" s="9"/>
      <c r="R15" s="9"/>
      <c r="S15" s="9">
        <f t="shared" ref="S15:S22" si="0">SUM(D15,G15,J15,M15,P15)</f>
        <v>0</v>
      </c>
      <c r="T15" s="8"/>
    </row>
    <row r="16" spans="1:20" x14ac:dyDescent="0.2">
      <c r="A16">
        <v>611200</v>
      </c>
      <c r="B16" t="s">
        <v>150</v>
      </c>
      <c r="C16">
        <v>0</v>
      </c>
      <c r="D16" s="9">
        <f>C16*H7</f>
        <v>0</v>
      </c>
      <c r="E16" s="9"/>
      <c r="F16" s="9"/>
      <c r="G16" s="9">
        <v>0</v>
      </c>
      <c r="H16" s="9"/>
      <c r="I16" s="9"/>
      <c r="J16" s="9">
        <f>ROUND((G16*C1),0)</f>
        <v>0</v>
      </c>
      <c r="K16" s="9"/>
      <c r="L16" s="9"/>
      <c r="M16" s="9">
        <f>ROUND((J16*C1),0)</f>
        <v>0</v>
      </c>
      <c r="N16" s="9"/>
      <c r="O16" s="9"/>
      <c r="P16" s="9">
        <f>ROUND((M16*C1),0)</f>
        <v>0</v>
      </c>
      <c r="Q16" s="9"/>
      <c r="R16" s="9"/>
      <c r="S16" s="9">
        <f t="shared" si="0"/>
        <v>0</v>
      </c>
      <c r="T16" s="8"/>
    </row>
    <row r="17" spans="1:20" x14ac:dyDescent="0.2">
      <c r="A17">
        <v>611200</v>
      </c>
      <c r="B17" t="s">
        <v>11</v>
      </c>
      <c r="D17" s="9">
        <f>C17*2/9</f>
        <v>0</v>
      </c>
      <c r="E17" s="9"/>
      <c r="F17" s="9"/>
      <c r="G17" s="9">
        <f>ROUND((D17*C1),0)</f>
        <v>0</v>
      </c>
      <c r="H17" s="9"/>
      <c r="I17" s="9"/>
      <c r="J17" s="9">
        <f>ROUND((G17*C1),0)</f>
        <v>0</v>
      </c>
      <c r="K17" s="9"/>
      <c r="L17" s="9"/>
      <c r="M17" s="9">
        <f>ROUND((J17*C1),0)</f>
        <v>0</v>
      </c>
      <c r="N17" s="9"/>
      <c r="O17" s="9"/>
      <c r="P17" s="9">
        <f>ROUND((M17*C1),0)</f>
        <v>0</v>
      </c>
      <c r="Q17" s="9"/>
      <c r="R17" s="9"/>
      <c r="S17" s="9">
        <f t="shared" si="0"/>
        <v>0</v>
      </c>
      <c r="T17" s="8"/>
    </row>
    <row r="18" spans="1:20" x14ac:dyDescent="0.2">
      <c r="A18">
        <v>611200</v>
      </c>
      <c r="B18" t="s">
        <v>11</v>
      </c>
      <c r="D18" s="9">
        <f>C18*2/9</f>
        <v>0</v>
      </c>
      <c r="E18" s="9"/>
      <c r="F18" s="9"/>
      <c r="G18" s="9">
        <f>ROUND((D18*C1),0)</f>
        <v>0</v>
      </c>
      <c r="H18" s="9"/>
      <c r="I18" s="9"/>
      <c r="J18" s="9">
        <f>ROUND((G18*C1),0)</f>
        <v>0</v>
      </c>
      <c r="K18" s="9"/>
      <c r="L18" s="9"/>
      <c r="M18" s="9">
        <f>ROUND((J18*C1),0)</f>
        <v>0</v>
      </c>
      <c r="N18" s="9"/>
      <c r="O18" s="9"/>
      <c r="P18" s="9">
        <f>ROUND((M18*C1),0)</f>
        <v>0</v>
      </c>
      <c r="Q18" s="9"/>
      <c r="R18" s="9"/>
      <c r="S18" s="9">
        <f t="shared" si="0"/>
        <v>0</v>
      </c>
      <c r="T18" s="8"/>
    </row>
    <row r="19" spans="1:20" x14ac:dyDescent="0.2">
      <c r="A19">
        <v>611410</v>
      </c>
      <c r="B19" s="2" t="s">
        <v>27</v>
      </c>
      <c r="D19" s="9">
        <v>0</v>
      </c>
      <c r="E19" s="9"/>
      <c r="F19" s="9"/>
      <c r="G19" s="9">
        <f>ROUND((D19*C1),0)</f>
        <v>0</v>
      </c>
      <c r="H19" s="9"/>
      <c r="I19" s="9"/>
      <c r="J19" s="9">
        <f>ROUND((G19*C1),0)</f>
        <v>0</v>
      </c>
      <c r="K19" s="9"/>
      <c r="L19" s="9"/>
      <c r="M19" s="9">
        <f>ROUND((J19*C1),0)</f>
        <v>0</v>
      </c>
      <c r="N19" s="9"/>
      <c r="O19" s="9"/>
      <c r="P19" s="9">
        <f>ROUND((M19*C1),0)</f>
        <v>0</v>
      </c>
      <c r="Q19" s="9"/>
      <c r="R19" s="9"/>
      <c r="S19" s="9">
        <f>SUM(D19,G19,J19,M19,P19)</f>
        <v>0</v>
      </c>
      <c r="T19" s="8"/>
    </row>
    <row r="20" spans="1:20" x14ac:dyDescent="0.2">
      <c r="A20">
        <v>611441</v>
      </c>
      <c r="B20" s="2" t="s">
        <v>28</v>
      </c>
      <c r="C20">
        <v>0</v>
      </c>
      <c r="D20" s="9">
        <f>C20*M7</f>
        <v>0</v>
      </c>
      <c r="E20" s="9"/>
      <c r="F20" s="9">
        <v>0</v>
      </c>
      <c r="G20" s="9">
        <f>ROUND((D20*C2),0)</f>
        <v>0</v>
      </c>
      <c r="H20" s="9"/>
      <c r="I20" s="9">
        <v>0</v>
      </c>
      <c r="J20" s="9">
        <f>ROUND((I20*M7*C2*C2),0)</f>
        <v>0</v>
      </c>
      <c r="K20" s="9"/>
      <c r="L20" s="9">
        <v>0</v>
      </c>
      <c r="M20" s="9">
        <f>ROUND((L20*M7*C2*C2*C2),0)</f>
        <v>0</v>
      </c>
      <c r="N20" s="9"/>
      <c r="O20" s="9">
        <v>0</v>
      </c>
      <c r="P20" s="9">
        <f>ROUND((O20*M7*C2*C2*C2*C2),0)</f>
        <v>0</v>
      </c>
      <c r="Q20" s="9"/>
      <c r="R20" s="9"/>
      <c r="S20" s="9">
        <f t="shared" si="0"/>
        <v>0</v>
      </c>
      <c r="T20" s="8"/>
    </row>
    <row r="21" spans="1:20" x14ac:dyDescent="0.2">
      <c r="A21">
        <v>611440</v>
      </c>
      <c r="B21" s="2" t="s">
        <v>29</v>
      </c>
      <c r="C21">
        <v>0</v>
      </c>
      <c r="D21" s="9">
        <f>C21*O7</f>
        <v>0</v>
      </c>
      <c r="E21" s="9"/>
      <c r="F21" s="9">
        <v>0</v>
      </c>
      <c r="G21" s="9">
        <f>ROUND((D21*C2),0)</f>
        <v>0</v>
      </c>
      <c r="H21" s="9"/>
      <c r="I21" s="9">
        <v>0</v>
      </c>
      <c r="J21" s="9">
        <f>ROUND((I21*O7*C2*C2),0)</f>
        <v>0</v>
      </c>
      <c r="K21" s="9"/>
      <c r="L21" s="9">
        <v>0</v>
      </c>
      <c r="M21" s="9">
        <f>ROUND((L21*O7*C2*C2*C2),0)</f>
        <v>0</v>
      </c>
      <c r="N21" s="9"/>
      <c r="O21" s="9">
        <v>0</v>
      </c>
      <c r="P21" s="9">
        <f>ROUND((O20*O7*C2*C2*C2*C2),0)</f>
        <v>0</v>
      </c>
      <c r="Q21" s="9"/>
      <c r="R21" s="9"/>
      <c r="S21" s="9">
        <f t="shared" si="0"/>
        <v>0</v>
      </c>
      <c r="T21" s="8"/>
    </row>
    <row r="22" spans="1:20" x14ac:dyDescent="0.2">
      <c r="B22" s="1" t="s">
        <v>8</v>
      </c>
      <c r="C22" s="1"/>
      <c r="D22" s="11">
        <f>SUM(D15:D21)</f>
        <v>0</v>
      </c>
      <c r="E22" s="11"/>
      <c r="F22" s="11"/>
      <c r="G22" s="11">
        <f>SUM(G15:G21)</f>
        <v>0</v>
      </c>
      <c r="H22" s="11"/>
      <c r="I22" s="11"/>
      <c r="J22" s="11">
        <f>SUM(J15:J21)</f>
        <v>0</v>
      </c>
      <c r="K22" s="11"/>
      <c r="L22" s="11"/>
      <c r="M22" s="11">
        <f>SUM(M15:M21)</f>
        <v>0</v>
      </c>
      <c r="N22" s="11"/>
      <c r="O22" s="11"/>
      <c r="P22" s="11">
        <f>SUM(P15:P21)</f>
        <v>0</v>
      </c>
      <c r="Q22" s="11"/>
      <c r="R22" s="11"/>
      <c r="S22" s="11">
        <f t="shared" si="0"/>
        <v>0</v>
      </c>
      <c r="T22" s="8"/>
    </row>
    <row r="23" spans="1:20" x14ac:dyDescent="0.2">
      <c r="D23" s="9"/>
      <c r="E23" s="9"/>
      <c r="F23" s="9"/>
      <c r="G23" s="9"/>
      <c r="H23" s="9"/>
      <c r="I23" s="9"/>
      <c r="J23" s="9"/>
      <c r="K23" s="9"/>
      <c r="L23" s="9"/>
      <c r="M23" s="9"/>
      <c r="N23" s="9"/>
      <c r="O23" s="9"/>
      <c r="P23" s="9"/>
      <c r="Q23" s="9"/>
      <c r="R23" s="9"/>
      <c r="S23" s="9"/>
      <c r="T23" s="8"/>
    </row>
    <row r="24" spans="1:20" x14ac:dyDescent="0.2">
      <c r="B24" s="1" t="s">
        <v>62</v>
      </c>
      <c r="D24" s="9"/>
      <c r="E24" s="9"/>
      <c r="F24" s="9"/>
      <c r="G24" s="9"/>
      <c r="H24" s="9"/>
      <c r="I24" s="9"/>
      <c r="J24" s="9"/>
      <c r="K24" s="9"/>
      <c r="L24" s="9"/>
      <c r="M24" s="9"/>
      <c r="N24" s="9"/>
      <c r="O24" s="9"/>
      <c r="P24" s="9"/>
      <c r="Q24" s="9"/>
      <c r="R24" s="9"/>
      <c r="S24" s="9"/>
      <c r="T24" s="8"/>
    </row>
    <row r="25" spans="1:20" x14ac:dyDescent="0.2">
      <c r="B25" t="s">
        <v>5</v>
      </c>
      <c r="D25" s="9">
        <f>ROUND((D15*0.0765),0)</f>
        <v>0</v>
      </c>
      <c r="E25" s="9"/>
      <c r="F25" s="9"/>
      <c r="G25" s="9">
        <f>ROUND((G15*0.0765),0)</f>
        <v>0</v>
      </c>
      <c r="H25" s="9"/>
      <c r="I25" s="9"/>
      <c r="J25" s="9">
        <f>ROUND((J15*0.0765),0)</f>
        <v>0</v>
      </c>
      <c r="K25" s="9"/>
      <c r="L25" s="9"/>
      <c r="M25" s="9">
        <f>ROUND((M15*0.0765),0)</f>
        <v>0</v>
      </c>
      <c r="N25" s="9"/>
      <c r="O25" s="9"/>
      <c r="P25" s="9">
        <f>ROUND((P15*0.0765),0)</f>
        <v>0</v>
      </c>
      <c r="Q25" s="9"/>
      <c r="R25" s="9"/>
      <c r="S25" s="9">
        <f t="shared" ref="S25:S68" si="1">SUM(D25,G25,J25,M25,P25)</f>
        <v>0</v>
      </c>
      <c r="T25" s="8"/>
    </row>
    <row r="26" spans="1:20" x14ac:dyDescent="0.2">
      <c r="B26" s="2" t="s">
        <v>150</v>
      </c>
      <c r="D26" s="9">
        <f>ROUND((D16*0.4),0)</f>
        <v>0</v>
      </c>
      <c r="E26" s="9"/>
      <c r="F26" s="9"/>
      <c r="G26" s="9">
        <f>ROUND((G16*0.4),0)</f>
        <v>0</v>
      </c>
      <c r="H26" s="9"/>
      <c r="I26" s="9"/>
      <c r="J26" s="9">
        <f>ROUND((J16*0.4),0)</f>
        <v>0</v>
      </c>
      <c r="K26" s="9"/>
      <c r="L26" s="9"/>
      <c r="M26" s="9">
        <f>ROUND((M16*0.4),0)</f>
        <v>0</v>
      </c>
      <c r="N26" s="9"/>
      <c r="O26" s="9"/>
      <c r="P26" s="9">
        <f>ROUND((P16*0.4),0)</f>
        <v>0</v>
      </c>
      <c r="Q26" s="9"/>
      <c r="R26" s="9"/>
      <c r="S26" s="9">
        <f t="shared" si="1"/>
        <v>0</v>
      </c>
      <c r="T26" s="8"/>
    </row>
    <row r="27" spans="1:20" x14ac:dyDescent="0.2">
      <c r="B27" t="s">
        <v>11</v>
      </c>
      <c r="D27" s="9">
        <f>ROUND((D17*0.0765),0)</f>
        <v>0</v>
      </c>
      <c r="E27" s="9"/>
      <c r="F27" s="9"/>
      <c r="G27" s="9">
        <f>ROUND((G17*0.0765),0)</f>
        <v>0</v>
      </c>
      <c r="H27" s="9"/>
      <c r="I27" s="9"/>
      <c r="J27" s="9">
        <f>ROUND((J17*0.0765),0)</f>
        <v>0</v>
      </c>
      <c r="K27" s="9"/>
      <c r="L27" s="9"/>
      <c r="M27" s="9">
        <f>ROUND((M17*0.0765),0)</f>
        <v>0</v>
      </c>
      <c r="N27" s="9"/>
      <c r="O27" s="9"/>
      <c r="P27" s="9">
        <f>ROUND((P17*0.0765),0)</f>
        <v>0</v>
      </c>
      <c r="Q27" s="9"/>
      <c r="R27" s="9"/>
      <c r="S27" s="9">
        <f t="shared" si="1"/>
        <v>0</v>
      </c>
      <c r="T27" s="8"/>
    </row>
    <row r="28" spans="1:20" x14ac:dyDescent="0.2">
      <c r="B28" t="s">
        <v>11</v>
      </c>
      <c r="D28" s="9">
        <f>ROUND((D18*0.0765),0)</f>
        <v>0</v>
      </c>
      <c r="E28" s="9"/>
      <c r="F28" s="9"/>
      <c r="G28" s="9">
        <f>ROUND((G18*0.0765),0)</f>
        <v>0</v>
      </c>
      <c r="H28" s="9"/>
      <c r="I28" s="9"/>
      <c r="J28" s="9">
        <f>ROUND((J18*0.0765),0)</f>
        <v>0</v>
      </c>
      <c r="K28" s="9"/>
      <c r="L28" s="9"/>
      <c r="M28" s="9">
        <f>ROUND((M18*0.0765),0)</f>
        <v>0</v>
      </c>
      <c r="N28" s="9"/>
      <c r="O28" s="9"/>
      <c r="P28" s="9">
        <f>ROUND((P18*0.0765),0)</f>
        <v>0</v>
      </c>
      <c r="Q28" s="9"/>
      <c r="R28" s="9"/>
      <c r="S28" s="9">
        <f t="shared" si="1"/>
        <v>0</v>
      </c>
      <c r="T28" s="8"/>
    </row>
    <row r="29" spans="1:20" x14ac:dyDescent="0.2">
      <c r="B29" s="2" t="s">
        <v>34</v>
      </c>
      <c r="D29" s="9">
        <f>ROUND((D19*0.0765),0)</f>
        <v>0</v>
      </c>
      <c r="E29" s="9"/>
      <c r="F29" s="9"/>
      <c r="G29" s="9">
        <f>ROUND((G19*0.0765),0)</f>
        <v>0</v>
      </c>
      <c r="H29" s="9"/>
      <c r="I29" s="9"/>
      <c r="J29" s="9">
        <f>ROUND((J19*0.0765),0)</f>
        <v>0</v>
      </c>
      <c r="K29" s="9"/>
      <c r="L29" s="9"/>
      <c r="M29" s="9">
        <f>ROUND((M19*0.0765),0)</f>
        <v>0</v>
      </c>
      <c r="N29" s="9"/>
      <c r="O29" s="9"/>
      <c r="P29" s="9">
        <f>ROUND((P19*0.0765),0)</f>
        <v>0</v>
      </c>
      <c r="Q29" s="9"/>
      <c r="R29" s="9"/>
      <c r="S29" s="9">
        <f t="shared" si="1"/>
        <v>0</v>
      </c>
      <c r="T29" s="8"/>
    </row>
    <row r="30" spans="1:20" x14ac:dyDescent="0.2">
      <c r="B30" s="2" t="s">
        <v>28</v>
      </c>
      <c r="D30" s="9">
        <f>ROUND((D20*0.4*0.0765),0)</f>
        <v>0</v>
      </c>
      <c r="E30" s="9"/>
      <c r="F30" s="9"/>
      <c r="G30" s="9">
        <f>ROUND((G20*0.4*0.0765),0)</f>
        <v>0</v>
      </c>
      <c r="H30" s="9"/>
      <c r="I30" s="9"/>
      <c r="J30" s="9">
        <f>ROUND((J20*0.4*0.0765),0)</f>
        <v>0</v>
      </c>
      <c r="K30" s="9"/>
      <c r="L30" s="9"/>
      <c r="M30" s="9">
        <f>ROUND((M20*0.4*0.0765),0)</f>
        <v>0</v>
      </c>
      <c r="N30" s="9"/>
      <c r="O30" s="9"/>
      <c r="P30" s="9">
        <f>ROUND((P20*0.4*0.0765),0)</f>
        <v>0</v>
      </c>
      <c r="Q30" s="9"/>
      <c r="R30" s="9"/>
      <c r="S30" s="9">
        <f t="shared" si="1"/>
        <v>0</v>
      </c>
      <c r="T30" s="8"/>
    </row>
    <row r="31" spans="1:20" x14ac:dyDescent="0.2">
      <c r="B31" s="2" t="s">
        <v>29</v>
      </c>
      <c r="D31" s="9">
        <f>ROUND((D21*0.0765),0)</f>
        <v>0</v>
      </c>
      <c r="E31" s="9"/>
      <c r="F31" s="9"/>
      <c r="G31" s="9">
        <f>ROUND((G21*0.0765),0)</f>
        <v>0</v>
      </c>
      <c r="H31" s="9"/>
      <c r="I31" s="9"/>
      <c r="J31" s="9">
        <f>ROUND((J21*0.0765),0)</f>
        <v>0</v>
      </c>
      <c r="K31" s="9"/>
      <c r="L31" s="9"/>
      <c r="M31" s="9">
        <f>ROUND((M21*0.0765),0)</f>
        <v>0</v>
      </c>
      <c r="N31" s="9"/>
      <c r="O31" s="9"/>
      <c r="P31" s="9">
        <f>ROUND((P21*0.0765),0)</f>
        <v>0</v>
      </c>
      <c r="Q31" s="9"/>
      <c r="R31" s="9"/>
      <c r="S31" s="9">
        <f t="shared" si="1"/>
        <v>0</v>
      </c>
      <c r="T31" s="8"/>
    </row>
    <row r="32" spans="1:20" x14ac:dyDescent="0.2">
      <c r="A32">
        <v>611100</v>
      </c>
      <c r="B32" s="1" t="s">
        <v>7</v>
      </c>
      <c r="C32" s="1"/>
      <c r="D32" s="11">
        <f>SUM(D25:D31)</f>
        <v>0</v>
      </c>
      <c r="E32" s="11"/>
      <c r="F32" s="11"/>
      <c r="G32" s="11">
        <f>SUM(G25:G31)</f>
        <v>0</v>
      </c>
      <c r="H32" s="11"/>
      <c r="I32" s="11"/>
      <c r="J32" s="11">
        <f>SUM(J25:J31)</f>
        <v>0</v>
      </c>
      <c r="K32" s="11"/>
      <c r="L32" s="11"/>
      <c r="M32" s="11">
        <f>SUM(M25:M31)</f>
        <v>0</v>
      </c>
      <c r="N32" s="11"/>
      <c r="O32" s="11"/>
      <c r="P32" s="11">
        <f>SUM(P25:P31)</f>
        <v>0</v>
      </c>
      <c r="Q32" s="11"/>
      <c r="R32" s="11"/>
      <c r="S32" s="11">
        <f t="shared" si="1"/>
        <v>0</v>
      </c>
      <c r="T32" s="8"/>
    </row>
    <row r="33" spans="1:20" x14ac:dyDescent="0.2">
      <c r="D33" s="9"/>
      <c r="E33" s="9"/>
      <c r="F33" s="9"/>
      <c r="G33" s="9"/>
      <c r="H33" s="9"/>
      <c r="I33" s="9"/>
      <c r="J33" s="9"/>
      <c r="K33" s="9"/>
      <c r="L33" s="9"/>
      <c r="M33" s="9"/>
      <c r="N33" s="9"/>
      <c r="O33" s="9"/>
      <c r="P33" s="9"/>
      <c r="Q33" s="9"/>
      <c r="R33" s="9"/>
      <c r="S33" s="9"/>
      <c r="T33" s="8"/>
    </row>
    <row r="34" spans="1:20" x14ac:dyDescent="0.2">
      <c r="B34" s="1" t="s">
        <v>63</v>
      </c>
      <c r="C34" s="1"/>
      <c r="D34" s="11">
        <f>SUM(D22,D32)</f>
        <v>0</v>
      </c>
      <c r="E34" s="11"/>
      <c r="F34" s="11"/>
      <c r="G34" s="11">
        <f>SUM(G22,G32)</f>
        <v>0</v>
      </c>
      <c r="H34" s="11"/>
      <c r="I34" s="11"/>
      <c r="J34" s="11">
        <f>SUM(J22,J32)</f>
        <v>0</v>
      </c>
      <c r="K34" s="11"/>
      <c r="L34" s="11"/>
      <c r="M34" s="11">
        <f>SUM(M22,M32)</f>
        <v>0</v>
      </c>
      <c r="N34" s="11"/>
      <c r="O34" s="11"/>
      <c r="P34" s="11">
        <f>SUM(P22,P32)</f>
        <v>0</v>
      </c>
      <c r="Q34" s="11"/>
      <c r="R34" s="11"/>
      <c r="S34" s="11">
        <f t="shared" si="1"/>
        <v>0</v>
      </c>
      <c r="T34" s="8"/>
    </row>
    <row r="35" spans="1:20" x14ac:dyDescent="0.2">
      <c r="D35" s="9"/>
      <c r="E35" s="9"/>
      <c r="F35" s="9"/>
      <c r="G35" s="9"/>
      <c r="H35" s="9"/>
      <c r="I35" s="9"/>
      <c r="J35" s="9"/>
      <c r="K35" s="9"/>
      <c r="L35" s="9"/>
      <c r="M35" s="9"/>
      <c r="N35" s="9"/>
      <c r="O35" s="9"/>
      <c r="P35" s="9"/>
      <c r="Q35" s="9"/>
      <c r="R35" s="9"/>
      <c r="S35" s="9"/>
      <c r="T35" s="8"/>
    </row>
    <row r="36" spans="1:20" x14ac:dyDescent="0.2">
      <c r="B36" s="1" t="s">
        <v>64</v>
      </c>
      <c r="D36" s="9"/>
      <c r="E36" s="9"/>
      <c r="F36" s="9"/>
      <c r="G36" s="9"/>
      <c r="H36" s="9"/>
      <c r="I36" s="9"/>
      <c r="J36" s="9"/>
      <c r="K36" s="9"/>
      <c r="L36" s="9"/>
      <c r="M36" s="9"/>
      <c r="N36" s="9"/>
      <c r="O36" s="9"/>
      <c r="P36" s="9"/>
      <c r="Q36" s="9"/>
      <c r="R36" s="9"/>
      <c r="S36" s="9"/>
      <c r="T36" s="8"/>
    </row>
    <row r="37" spans="1:20" x14ac:dyDescent="0.2">
      <c r="B37" s="2" t="s">
        <v>65</v>
      </c>
      <c r="D37" s="9">
        <v>0</v>
      </c>
      <c r="E37" s="9"/>
      <c r="F37" s="9"/>
      <c r="G37" s="9">
        <f>ROUND((D37*$C$5),0)</f>
        <v>0</v>
      </c>
      <c r="H37" s="9"/>
      <c r="I37" s="9"/>
      <c r="J37" s="9">
        <f>ROUND((G37*$C$5),0)</f>
        <v>0</v>
      </c>
      <c r="K37" s="9"/>
      <c r="L37" s="9"/>
      <c r="M37" s="9">
        <f>ROUND((J37*$C$5),0)</f>
        <v>0</v>
      </c>
      <c r="N37" s="9"/>
      <c r="O37" s="9"/>
      <c r="P37" s="9">
        <f>ROUND((M37*$C$5),0)</f>
        <v>0</v>
      </c>
      <c r="Q37" s="9"/>
      <c r="R37" s="9"/>
      <c r="S37" s="21">
        <f t="shared" si="1"/>
        <v>0</v>
      </c>
      <c r="T37" s="8"/>
    </row>
    <row r="38" spans="1:20" x14ac:dyDescent="0.2">
      <c r="B38" s="2" t="s">
        <v>66</v>
      </c>
      <c r="D38" s="9">
        <v>0</v>
      </c>
      <c r="E38" s="9"/>
      <c r="F38" s="9"/>
      <c r="G38" s="9">
        <v>0</v>
      </c>
      <c r="H38" s="9"/>
      <c r="I38" s="9"/>
      <c r="J38" s="9">
        <f>ROUND((G38*$C$5),0)</f>
        <v>0</v>
      </c>
      <c r="K38" s="9"/>
      <c r="L38" s="9"/>
      <c r="M38" s="9">
        <f>ROUND((J38*$C$5),0)</f>
        <v>0</v>
      </c>
      <c r="N38" s="9"/>
      <c r="O38" s="9"/>
      <c r="P38" s="9">
        <f>ROUND((M38*$C$5),0)</f>
        <v>0</v>
      </c>
      <c r="Q38" s="9"/>
      <c r="R38" s="9"/>
      <c r="S38" s="21">
        <f t="shared" si="1"/>
        <v>0</v>
      </c>
      <c r="T38" s="8"/>
    </row>
    <row r="39" spans="1:20" x14ac:dyDescent="0.2">
      <c r="A39">
        <v>712800</v>
      </c>
      <c r="B39" s="1" t="s">
        <v>9</v>
      </c>
      <c r="C39" s="1"/>
      <c r="D39" s="11">
        <f>SUM(D37:D38)</f>
        <v>0</v>
      </c>
      <c r="E39" s="11"/>
      <c r="F39" s="11"/>
      <c r="G39" s="11">
        <f>SUM(G37:G38)</f>
        <v>0</v>
      </c>
      <c r="H39" s="11"/>
      <c r="I39" s="11"/>
      <c r="J39" s="11">
        <f>SUM(J37:J38)</f>
        <v>0</v>
      </c>
      <c r="K39" s="11"/>
      <c r="L39" s="11"/>
      <c r="M39" s="11">
        <f>SUM(M37:M38)</f>
        <v>0</v>
      </c>
      <c r="N39" s="11"/>
      <c r="O39" s="11"/>
      <c r="P39" s="11">
        <f>SUM(P37:P38)</f>
        <v>0</v>
      </c>
      <c r="Q39" s="11"/>
      <c r="R39" s="11"/>
      <c r="S39" s="11">
        <f t="shared" si="1"/>
        <v>0</v>
      </c>
      <c r="T39" s="8"/>
    </row>
    <row r="40" spans="1:20" x14ac:dyDescent="0.2">
      <c r="B40" s="1"/>
      <c r="D40" s="9"/>
      <c r="E40" s="9"/>
      <c r="F40" s="9"/>
      <c r="G40" s="9"/>
      <c r="H40" s="9"/>
      <c r="I40" s="9"/>
      <c r="J40" s="9"/>
      <c r="K40" s="9"/>
      <c r="L40" s="9"/>
      <c r="M40" s="9"/>
      <c r="N40" s="9"/>
      <c r="O40" s="9"/>
      <c r="P40" s="9"/>
      <c r="Q40" s="9"/>
      <c r="R40" s="9"/>
      <c r="S40" s="9"/>
      <c r="T40" s="8"/>
    </row>
    <row r="41" spans="1:20" x14ac:dyDescent="0.2">
      <c r="A41">
        <v>722000</v>
      </c>
      <c r="B41" s="1" t="s">
        <v>67</v>
      </c>
      <c r="D41" s="22">
        <v>0</v>
      </c>
      <c r="E41" s="9"/>
      <c r="F41" s="9"/>
      <c r="G41" s="22">
        <v>0</v>
      </c>
      <c r="H41" s="9"/>
      <c r="I41" s="9"/>
      <c r="J41" s="22">
        <v>0</v>
      </c>
      <c r="K41" s="9"/>
      <c r="L41" s="9"/>
      <c r="M41" s="22">
        <v>0</v>
      </c>
      <c r="N41" s="9"/>
      <c r="O41" s="9"/>
      <c r="P41" s="22">
        <v>0</v>
      </c>
      <c r="Q41" s="9"/>
      <c r="R41" s="9"/>
      <c r="S41" s="22">
        <f t="shared" si="1"/>
        <v>0</v>
      </c>
      <c r="T41" s="8"/>
    </row>
    <row r="42" spans="1:20" x14ac:dyDescent="0.2">
      <c r="D42" s="9"/>
      <c r="E42" s="9"/>
      <c r="F42" s="9"/>
      <c r="G42" s="9"/>
      <c r="H42" s="9"/>
      <c r="I42" s="9"/>
      <c r="J42" s="9"/>
      <c r="K42" s="9"/>
      <c r="L42" s="9"/>
      <c r="M42" s="9"/>
      <c r="N42" s="9"/>
      <c r="O42" s="9"/>
      <c r="P42" s="9"/>
      <c r="Q42" s="9"/>
      <c r="R42" s="9"/>
      <c r="S42" s="9"/>
      <c r="T42" s="8"/>
    </row>
    <row r="43" spans="1:20" x14ac:dyDescent="0.2">
      <c r="B43" s="1" t="s">
        <v>68</v>
      </c>
      <c r="D43" s="9"/>
      <c r="E43" s="9"/>
      <c r="F43" s="9"/>
      <c r="G43" s="9"/>
      <c r="H43" s="9"/>
      <c r="I43" s="9"/>
      <c r="J43" s="9"/>
      <c r="K43" s="9"/>
      <c r="L43" s="9"/>
      <c r="M43" s="9"/>
      <c r="N43" s="9"/>
      <c r="O43" s="9"/>
      <c r="P43" s="9"/>
      <c r="Q43" s="9"/>
      <c r="R43" s="9"/>
      <c r="S43" s="9"/>
      <c r="T43" s="8"/>
    </row>
    <row r="44" spans="1:20" x14ac:dyDescent="0.2">
      <c r="B44" s="32" t="s">
        <v>119</v>
      </c>
      <c r="D44" s="22">
        <v>0</v>
      </c>
      <c r="E44" s="9"/>
      <c r="F44" s="9"/>
      <c r="G44" s="22">
        <v>0</v>
      </c>
      <c r="H44" s="9"/>
      <c r="I44" s="9"/>
      <c r="J44" s="22">
        <v>0</v>
      </c>
      <c r="K44" s="9"/>
      <c r="L44" s="9"/>
      <c r="M44" s="22">
        <v>0</v>
      </c>
      <c r="N44" s="9"/>
      <c r="O44" s="9"/>
      <c r="P44" s="22">
        <v>0</v>
      </c>
      <c r="Q44" s="9"/>
      <c r="R44" s="9"/>
      <c r="S44" s="22">
        <f t="shared" si="1"/>
        <v>0</v>
      </c>
      <c r="T44" s="8"/>
    </row>
    <row r="45" spans="1:20" x14ac:dyDescent="0.2">
      <c r="B45" s="32" t="s">
        <v>64</v>
      </c>
      <c r="D45" s="22">
        <v>0</v>
      </c>
      <c r="E45" s="9"/>
      <c r="F45" s="9"/>
      <c r="G45" s="22">
        <v>0</v>
      </c>
      <c r="H45" s="9"/>
      <c r="I45" s="9"/>
      <c r="J45" s="22">
        <v>0</v>
      </c>
      <c r="K45" s="9"/>
      <c r="L45" s="9"/>
      <c r="M45" s="22">
        <v>0</v>
      </c>
      <c r="N45" s="9"/>
      <c r="O45" s="9"/>
      <c r="P45" s="22">
        <v>0</v>
      </c>
      <c r="Q45" s="9"/>
      <c r="R45" s="9"/>
      <c r="S45" s="22">
        <f t="shared" si="1"/>
        <v>0</v>
      </c>
      <c r="T45" s="8"/>
    </row>
    <row r="46" spans="1:20" x14ac:dyDescent="0.2">
      <c r="B46" s="32" t="s">
        <v>120</v>
      </c>
      <c r="D46" s="22">
        <v>0</v>
      </c>
      <c r="E46" s="9"/>
      <c r="F46" s="9"/>
      <c r="G46" s="22">
        <v>0</v>
      </c>
      <c r="H46" s="9"/>
      <c r="I46" s="9"/>
      <c r="J46" s="22">
        <v>0</v>
      </c>
      <c r="K46" s="9"/>
      <c r="L46" s="9"/>
      <c r="M46" s="22">
        <v>0</v>
      </c>
      <c r="N46" s="9"/>
      <c r="O46" s="9"/>
      <c r="P46" s="22">
        <v>0</v>
      </c>
      <c r="Q46" s="9"/>
      <c r="R46" s="9"/>
      <c r="S46" s="22">
        <f t="shared" si="1"/>
        <v>0</v>
      </c>
      <c r="T46" s="8"/>
    </row>
    <row r="47" spans="1:20" x14ac:dyDescent="0.2">
      <c r="B47" s="2" t="s">
        <v>121</v>
      </c>
      <c r="D47" s="22">
        <v>0</v>
      </c>
      <c r="E47" s="9"/>
      <c r="F47" s="9"/>
      <c r="G47" s="22">
        <v>0</v>
      </c>
      <c r="H47" s="9"/>
      <c r="I47" s="9"/>
      <c r="J47" s="22">
        <v>0</v>
      </c>
      <c r="K47" s="9"/>
      <c r="L47" s="9"/>
      <c r="M47" s="22">
        <v>0</v>
      </c>
      <c r="N47" s="9"/>
      <c r="O47" s="9"/>
      <c r="P47" s="22">
        <v>0</v>
      </c>
      <c r="Q47" s="9"/>
      <c r="R47" s="9"/>
      <c r="S47" s="22">
        <f t="shared" si="1"/>
        <v>0</v>
      </c>
      <c r="T47" s="8"/>
    </row>
    <row r="48" spans="1:20" x14ac:dyDescent="0.2">
      <c r="B48" s="1" t="s">
        <v>6</v>
      </c>
      <c r="C48" s="1"/>
      <c r="D48" s="23">
        <f>SUM(D44:D47)</f>
        <v>0</v>
      </c>
      <c r="E48" s="11"/>
      <c r="F48" s="11"/>
      <c r="G48" s="23">
        <f>SUM(G44:G47)</f>
        <v>0</v>
      </c>
      <c r="H48" s="11"/>
      <c r="I48" s="11"/>
      <c r="J48" s="23">
        <f>SUM(J44:J47)</f>
        <v>0</v>
      </c>
      <c r="K48" s="11"/>
      <c r="L48" s="11"/>
      <c r="M48" s="23">
        <f>SUM(M44:M47)</f>
        <v>0</v>
      </c>
      <c r="N48" s="11"/>
      <c r="O48" s="11"/>
      <c r="P48" s="23">
        <f>SUM(P44:P47)</f>
        <v>0</v>
      </c>
      <c r="Q48" s="11"/>
      <c r="R48" s="11"/>
      <c r="S48" s="23">
        <f t="shared" si="1"/>
        <v>0</v>
      </c>
      <c r="T48" s="8"/>
    </row>
    <row r="49" spans="1:22" x14ac:dyDescent="0.2">
      <c r="D49" s="9"/>
      <c r="E49" s="9"/>
      <c r="F49" s="9"/>
      <c r="G49" s="9"/>
      <c r="H49" s="9"/>
      <c r="I49" s="9"/>
      <c r="J49" s="9"/>
      <c r="K49" s="9"/>
      <c r="L49" s="9"/>
      <c r="M49" s="9"/>
      <c r="N49" s="9"/>
      <c r="O49" s="9"/>
      <c r="P49" s="9"/>
      <c r="Q49" s="9"/>
      <c r="R49" s="9"/>
      <c r="S49" s="9"/>
      <c r="T49" s="8"/>
    </row>
    <row r="50" spans="1:22" x14ac:dyDescent="0.2">
      <c r="B50" s="1" t="s">
        <v>69</v>
      </c>
      <c r="D50" s="9"/>
      <c r="E50" s="9"/>
      <c r="F50" s="9"/>
      <c r="G50" s="9"/>
      <c r="H50" s="9"/>
      <c r="I50" s="9"/>
      <c r="J50" s="9"/>
      <c r="K50" s="9"/>
      <c r="L50" s="9"/>
      <c r="M50" s="9"/>
      <c r="N50" s="9"/>
      <c r="O50" s="9"/>
      <c r="P50" s="9"/>
      <c r="Q50" s="9"/>
      <c r="R50" s="9"/>
      <c r="S50" s="9"/>
      <c r="T50" s="8"/>
    </row>
    <row r="51" spans="1:22" x14ac:dyDescent="0.2">
      <c r="A51">
        <v>713000</v>
      </c>
      <c r="B51" s="2" t="s">
        <v>149</v>
      </c>
      <c r="D51" s="9">
        <v>0</v>
      </c>
      <c r="E51" s="9"/>
      <c r="F51" s="9"/>
      <c r="G51" s="9">
        <v>0</v>
      </c>
      <c r="H51" s="9"/>
      <c r="I51" s="9"/>
      <c r="J51" s="9">
        <f>ROUND((G51*$C$5),0)</f>
        <v>0</v>
      </c>
      <c r="K51" s="9"/>
      <c r="L51" s="9"/>
      <c r="M51" s="9">
        <f>ROUND((J51*$C$5),0)</f>
        <v>0</v>
      </c>
      <c r="N51" s="9"/>
      <c r="O51" s="9"/>
      <c r="P51" s="9">
        <f>ROUND((M51*$C$5),0)</f>
        <v>0</v>
      </c>
      <c r="Q51" s="9"/>
      <c r="R51" s="9"/>
      <c r="S51" s="9">
        <f t="shared" si="1"/>
        <v>0</v>
      </c>
      <c r="T51" s="8"/>
    </row>
    <row r="52" spans="1:22" x14ac:dyDescent="0.2">
      <c r="A52">
        <v>712150</v>
      </c>
      <c r="B52" t="s">
        <v>4</v>
      </c>
      <c r="D52" s="9">
        <v>0</v>
      </c>
      <c r="E52" s="9"/>
      <c r="F52" s="9"/>
      <c r="G52" s="9">
        <f>ROUND((D52*$C$5),0)</f>
        <v>0</v>
      </c>
      <c r="H52" s="9"/>
      <c r="I52" s="9"/>
      <c r="J52" s="9">
        <f>ROUND((G52*$C$5),0)</f>
        <v>0</v>
      </c>
      <c r="K52" s="9"/>
      <c r="L52" s="9"/>
      <c r="M52" s="9">
        <f>ROUND((J52*$C$5),0)</f>
        <v>0</v>
      </c>
      <c r="N52" s="9"/>
      <c r="O52" s="9"/>
      <c r="P52" s="9">
        <f>ROUND((M52*$C$5),0)</f>
        <v>0</v>
      </c>
      <c r="Q52" s="9"/>
      <c r="R52" s="9"/>
      <c r="S52" s="9">
        <f t="shared" si="1"/>
        <v>0</v>
      </c>
      <c r="T52" s="8"/>
    </row>
    <row r="53" spans="1:22" x14ac:dyDescent="0.2">
      <c r="A53">
        <v>712687</v>
      </c>
      <c r="B53" s="2" t="s">
        <v>30</v>
      </c>
      <c r="D53" s="9">
        <v>0</v>
      </c>
      <c r="E53" s="9"/>
      <c r="F53" s="9"/>
      <c r="G53" s="9">
        <v>0</v>
      </c>
      <c r="H53" s="9"/>
      <c r="I53" s="9"/>
      <c r="J53" s="9">
        <v>0</v>
      </c>
      <c r="K53" s="9"/>
      <c r="L53" s="9"/>
      <c r="M53" s="9">
        <v>0</v>
      </c>
      <c r="N53" s="9"/>
      <c r="O53" s="9"/>
      <c r="P53" s="9">
        <v>0</v>
      </c>
      <c r="Q53" s="9"/>
      <c r="R53" s="9"/>
      <c r="S53" s="9">
        <v>0</v>
      </c>
      <c r="T53" s="8"/>
    </row>
    <row r="54" spans="1:22" x14ac:dyDescent="0.2">
      <c r="A54">
        <v>712000</v>
      </c>
      <c r="B54" t="s">
        <v>151</v>
      </c>
      <c r="D54" s="9">
        <v>0</v>
      </c>
      <c r="E54" s="9"/>
      <c r="F54" s="9"/>
      <c r="G54" s="9">
        <v>0</v>
      </c>
      <c r="H54" s="9"/>
      <c r="I54" s="9"/>
      <c r="J54" s="9">
        <v>0</v>
      </c>
      <c r="K54" s="9"/>
      <c r="L54" s="9"/>
      <c r="M54" s="9">
        <v>0</v>
      </c>
      <c r="N54" s="9"/>
      <c r="O54" s="9"/>
      <c r="P54" s="9">
        <v>0</v>
      </c>
      <c r="Q54" s="9"/>
      <c r="R54" s="9"/>
      <c r="S54" s="9">
        <f t="shared" si="1"/>
        <v>0</v>
      </c>
      <c r="T54" s="8"/>
    </row>
    <row r="55" spans="1:22" x14ac:dyDescent="0.2">
      <c r="A55">
        <v>714230</v>
      </c>
      <c r="B55" s="2" t="s">
        <v>38</v>
      </c>
      <c r="D55" s="22">
        <f>C20*M8</f>
        <v>0</v>
      </c>
      <c r="E55" s="9"/>
      <c r="F55" s="9"/>
      <c r="G55" s="22">
        <f>ROUND(F20*M8*C3,0)</f>
        <v>0</v>
      </c>
      <c r="H55" s="9"/>
      <c r="I55" s="9"/>
      <c r="J55" s="22">
        <f>ROUND(I20*M8*C3*C3,0)</f>
        <v>0</v>
      </c>
      <c r="K55" s="9"/>
      <c r="L55" s="9"/>
      <c r="M55" s="22">
        <f>ROUND(L20*M8*C3*C3*C3,0)</f>
        <v>0</v>
      </c>
      <c r="N55" s="9"/>
      <c r="O55" s="9"/>
      <c r="P55" s="22">
        <f>ROUND(O20*M8*C3*C3*C3*C3,0)</f>
        <v>0</v>
      </c>
      <c r="Q55" s="9"/>
      <c r="R55" s="9"/>
      <c r="S55" s="22">
        <f>SUM(D55,G55,J55,M55,P55)</f>
        <v>0</v>
      </c>
      <c r="T55" s="8"/>
    </row>
    <row r="56" spans="1:22" x14ac:dyDescent="0.2">
      <c r="A56">
        <v>712370</v>
      </c>
      <c r="B56" s="2" t="s">
        <v>39</v>
      </c>
      <c r="D56" s="9">
        <f>M9*C20</f>
        <v>0</v>
      </c>
      <c r="E56" s="9"/>
      <c r="F56" s="9"/>
      <c r="G56" s="9">
        <f>ROUND(F20*M9*C4,0)</f>
        <v>0</v>
      </c>
      <c r="H56" s="9"/>
      <c r="I56" s="9"/>
      <c r="J56" s="9">
        <f>ROUND(I20*M9*C4*C4,0)</f>
        <v>0</v>
      </c>
      <c r="K56" s="9"/>
      <c r="L56" s="9"/>
      <c r="M56" s="9">
        <f>ROUND(L20*M9*C4*C4*C4,0)</f>
        <v>0</v>
      </c>
      <c r="N56" s="9"/>
      <c r="O56" s="9"/>
      <c r="P56" s="9">
        <f>ROUND(O20*M9*C4*C4*C4*C4,0)</f>
        <v>0</v>
      </c>
      <c r="Q56" s="9"/>
      <c r="R56" s="9"/>
      <c r="S56" s="22">
        <f t="shared" ref="S56:S58" si="2">SUM(D56,G56,J56,M56,P56)</f>
        <v>0</v>
      </c>
      <c r="T56" s="8"/>
    </row>
    <row r="57" spans="1:22" x14ac:dyDescent="0.2">
      <c r="B57" t="s">
        <v>58</v>
      </c>
      <c r="D57" s="22">
        <f>C20*O8</f>
        <v>0</v>
      </c>
      <c r="E57" s="9"/>
      <c r="F57" s="9"/>
      <c r="G57" s="22">
        <f>ROUND(F20*O8*C5,0)</f>
        <v>0</v>
      </c>
      <c r="H57" s="9"/>
      <c r="I57" s="9"/>
      <c r="J57" s="22">
        <f>ROUND(I20*O8*C5*C5,0)</f>
        <v>0</v>
      </c>
      <c r="K57" s="9"/>
      <c r="L57" s="9"/>
      <c r="M57" s="22">
        <f>ROUND(L20*O8*C5*C5*C5,0)</f>
        <v>0</v>
      </c>
      <c r="N57" s="9"/>
      <c r="O57" s="9"/>
      <c r="P57" s="22">
        <f>ROUND(O20*O8*C5*C5*C5*C5,0)</f>
        <v>0</v>
      </c>
      <c r="Q57" s="9"/>
      <c r="R57" s="9"/>
      <c r="S57" s="22">
        <f t="shared" si="2"/>
        <v>0</v>
      </c>
      <c r="T57" s="8"/>
    </row>
    <row r="58" spans="1:22" x14ac:dyDescent="0.2">
      <c r="B58" t="s">
        <v>57</v>
      </c>
      <c r="D58" s="22">
        <f>C20*O9</f>
        <v>0</v>
      </c>
      <c r="E58" s="9"/>
      <c r="F58" s="9"/>
      <c r="G58" s="22">
        <f>ROUND(F20*O9*C5,0)</f>
        <v>0</v>
      </c>
      <c r="H58" s="9"/>
      <c r="I58" s="9"/>
      <c r="J58" s="22">
        <f>ROUND(I20*O9*C5*C5,0)</f>
        <v>0</v>
      </c>
      <c r="K58" s="9"/>
      <c r="L58" s="9"/>
      <c r="M58" s="22">
        <f>ROUND(L20*O9*C5*C5*C5,0)</f>
        <v>0</v>
      </c>
      <c r="N58" s="9"/>
      <c r="O58" s="9"/>
      <c r="P58" s="22">
        <f>ROUND(O20*O9*C5*C5*C5*C5,0)</f>
        <v>0</v>
      </c>
      <c r="Q58" s="9"/>
      <c r="R58" s="9"/>
      <c r="S58" s="22">
        <f t="shared" si="2"/>
        <v>0</v>
      </c>
      <c r="T58" s="8"/>
    </row>
    <row r="59" spans="1:22" s="5" customFormat="1" x14ac:dyDescent="0.2">
      <c r="B59" s="5" t="s">
        <v>16</v>
      </c>
      <c r="D59" s="12">
        <f>SUM(D55:D58)</f>
        <v>0</v>
      </c>
      <c r="E59" s="12"/>
      <c r="F59" s="13"/>
      <c r="G59" s="12">
        <f>SUM(G55:G58)</f>
        <v>0</v>
      </c>
      <c r="H59" s="12"/>
      <c r="I59" s="12"/>
      <c r="J59" s="12">
        <f>SUM(J55:J58)</f>
        <v>0</v>
      </c>
      <c r="K59" s="12"/>
      <c r="L59" s="12"/>
      <c r="M59" s="12">
        <f>SUM(M55:M58)</f>
        <v>0</v>
      </c>
      <c r="N59" s="13"/>
      <c r="O59" s="12"/>
      <c r="P59" s="12">
        <f>SUM(P55:P58)</f>
        <v>0</v>
      </c>
      <c r="Q59" s="12"/>
      <c r="R59" s="12"/>
      <c r="S59" s="12">
        <f t="shared" si="1"/>
        <v>0</v>
      </c>
      <c r="T59" s="12"/>
    </row>
    <row r="60" spans="1:22" x14ac:dyDescent="0.2">
      <c r="B60" s="1" t="s">
        <v>3</v>
      </c>
      <c r="C60" s="1"/>
      <c r="D60" s="10">
        <f>SUM(D51:D58)</f>
        <v>0</v>
      </c>
      <c r="E60" s="10"/>
      <c r="F60" s="11"/>
      <c r="G60" s="10">
        <f>SUM(G51:G58)</f>
        <v>0</v>
      </c>
      <c r="H60" s="10"/>
      <c r="I60" s="10"/>
      <c r="J60" s="10">
        <f>SUM(J51:J58)</f>
        <v>0</v>
      </c>
      <c r="K60" s="10"/>
      <c r="L60" s="10"/>
      <c r="M60" s="10">
        <f>SUM(M51:M58)</f>
        <v>0</v>
      </c>
      <c r="N60" s="10"/>
      <c r="O60" s="10"/>
      <c r="P60" s="10">
        <f>SUM(P51:P58)</f>
        <v>0</v>
      </c>
      <c r="Q60" s="10"/>
      <c r="R60" s="10"/>
      <c r="S60" s="10">
        <f>SUM(D60,G60,J60,M60,P60)</f>
        <v>0</v>
      </c>
      <c r="T60" s="8"/>
    </row>
    <row r="61" spans="1:22" x14ac:dyDescent="0.2">
      <c r="D61" s="8"/>
      <c r="E61" s="8"/>
      <c r="F61" s="9"/>
      <c r="G61" s="8"/>
      <c r="H61" s="8"/>
      <c r="I61" s="8"/>
      <c r="J61" s="8"/>
      <c r="K61" s="8"/>
      <c r="L61" s="8"/>
      <c r="M61" s="8"/>
      <c r="N61" s="8"/>
      <c r="O61" s="8"/>
      <c r="P61" s="8"/>
      <c r="Q61" s="8"/>
      <c r="R61" s="8"/>
      <c r="S61" s="8"/>
      <c r="T61" s="8"/>
    </row>
    <row r="62" spans="1:22" x14ac:dyDescent="0.2">
      <c r="B62" s="1" t="s">
        <v>2</v>
      </c>
      <c r="C62" s="1"/>
      <c r="D62" s="10">
        <f>SUM(D34,D39,D41,D48,D60)</f>
        <v>0</v>
      </c>
      <c r="E62" s="10"/>
      <c r="F62" s="11"/>
      <c r="G62" s="10">
        <f>SUM(G34,G39,G41,G48,G60)</f>
        <v>0</v>
      </c>
      <c r="H62" s="10"/>
      <c r="I62" s="10"/>
      <c r="J62" s="10">
        <f>SUM(J34,J39,J41,J48,J60)</f>
        <v>0</v>
      </c>
      <c r="K62" s="10"/>
      <c r="L62" s="10"/>
      <c r="M62" s="10">
        <f>SUM(M34,M39,M41,M48,M60)</f>
        <v>0</v>
      </c>
      <c r="N62" s="10"/>
      <c r="O62" s="10"/>
      <c r="P62" s="10">
        <f>SUM(P34,P39,P41,P48,P60)</f>
        <v>0</v>
      </c>
      <c r="Q62" s="10"/>
      <c r="R62" s="10"/>
      <c r="S62" s="10">
        <f t="shared" si="1"/>
        <v>0</v>
      </c>
      <c r="T62" s="8"/>
    </row>
    <row r="63" spans="1:22" x14ac:dyDescent="0.2">
      <c r="B63" s="5" t="s">
        <v>70</v>
      </c>
      <c r="D63" s="8"/>
      <c r="E63" s="12">
        <f>IF(D53&lt;25000,D53,25000)</f>
        <v>0</v>
      </c>
      <c r="F63" s="9"/>
      <c r="G63" s="8"/>
      <c r="H63" s="12">
        <f>IF(D53&lt;25000,IF(SUM(D53,G53)&lt;25000.01,G53,25000-D53),0)</f>
        <v>0</v>
      </c>
      <c r="I63" s="12"/>
      <c r="J63" s="12"/>
      <c r="K63" s="12">
        <f>IF(SUM(D53,G53)&lt;25000,IF(SUM(D53,G53,J53)&lt;25000.01,J53,25000-SUM(D53,G53)),0)</f>
        <v>0</v>
      </c>
      <c r="L63" s="12"/>
      <c r="M63" s="12"/>
      <c r="N63" s="12">
        <f>IF(SUM(D53,G53,J53)&lt;25000,IF(SUM(D53,G53,J53,M53)&lt;25000.01,M53,25000-SUM(D53,G53,J53)),0)</f>
        <v>0</v>
      </c>
      <c r="O63" s="12"/>
      <c r="P63" s="12"/>
      <c r="Q63" s="12">
        <f>IF(SUM(D53,G53,J53,M53)&lt;25000.01,IF(SUM(D53,G53,J53,M53,P53)&lt;25000.01,P53,25000-SUM(D53,G53,J53,M53)),0)</f>
        <v>0</v>
      </c>
      <c r="R63" s="8"/>
      <c r="S63" s="8"/>
      <c r="T63" s="8"/>
      <c r="V63" s="8">
        <f>SUM(E63:O63)</f>
        <v>0</v>
      </c>
    </row>
    <row r="64" spans="1:22" x14ac:dyDescent="0.2">
      <c r="B64" s="5" t="s">
        <v>71</v>
      </c>
      <c r="C64" s="5"/>
      <c r="D64" s="12"/>
      <c r="E64" s="12">
        <f>D62-D55-D41-D48-D57-D58-D53+E63</f>
        <v>0</v>
      </c>
      <c r="F64" s="13"/>
      <c r="G64" s="12"/>
      <c r="H64" s="12">
        <f>G62-G55-G41-G48-G57-G58-G53+H63</f>
        <v>0</v>
      </c>
      <c r="I64" s="12"/>
      <c r="J64" s="12"/>
      <c r="K64" s="12">
        <f>J62-J55-J41-J48-J57-J58-J53+K63</f>
        <v>0</v>
      </c>
      <c r="L64" s="12"/>
      <c r="M64" s="12"/>
      <c r="N64" s="12">
        <f>M62-M55-M41-M48-M57-M58-M53+N63</f>
        <v>0</v>
      </c>
      <c r="O64" s="12"/>
      <c r="P64" s="12"/>
      <c r="Q64" s="12">
        <f>P62-P55-P41-P48-P57-P58-P53+Q63</f>
        <v>0</v>
      </c>
      <c r="R64" s="12"/>
      <c r="S64" s="12"/>
      <c r="T64" s="8"/>
    </row>
    <row r="65" spans="1:250" x14ac:dyDescent="0.2">
      <c r="D65" s="8"/>
      <c r="E65" s="8"/>
      <c r="F65" s="9"/>
      <c r="G65" s="8"/>
      <c r="H65" s="8"/>
      <c r="I65" s="8"/>
      <c r="J65" s="8"/>
      <c r="K65" s="8"/>
      <c r="L65" s="8"/>
      <c r="M65" s="8"/>
      <c r="N65" s="8"/>
      <c r="O65" s="8"/>
      <c r="P65" s="8"/>
      <c r="Q65" s="8"/>
      <c r="R65" s="8"/>
      <c r="S65" s="8"/>
      <c r="T65" s="8"/>
    </row>
    <row r="66" spans="1:250" x14ac:dyDescent="0.2">
      <c r="A66">
        <v>787000</v>
      </c>
      <c r="B66" s="1" t="s">
        <v>72</v>
      </c>
      <c r="C66" s="1"/>
      <c r="D66" s="10">
        <f>ROUND((E64*$G$4),0)</f>
        <v>0</v>
      </c>
      <c r="E66" s="10"/>
      <c r="F66" s="11"/>
      <c r="G66" s="10">
        <f>ROUND((H64*$G$4),0)</f>
        <v>0</v>
      </c>
      <c r="H66" s="10"/>
      <c r="I66" s="10"/>
      <c r="J66" s="10">
        <f>ROUND((K64*$G$4),0)</f>
        <v>0</v>
      </c>
      <c r="K66" s="10"/>
      <c r="L66" s="10"/>
      <c r="M66" s="10">
        <f>ROUND((N64*$G$4),0)</f>
        <v>0</v>
      </c>
      <c r="N66" s="10"/>
      <c r="O66" s="10"/>
      <c r="P66" s="10">
        <f>ROUND((Q64*$G$4),0)</f>
        <v>0</v>
      </c>
      <c r="Q66" s="10"/>
      <c r="R66" s="10"/>
      <c r="S66" s="10">
        <f t="shared" si="1"/>
        <v>0</v>
      </c>
      <c r="T66" s="8"/>
    </row>
    <row r="67" spans="1:250" x14ac:dyDescent="0.2">
      <c r="D67" s="8"/>
      <c r="E67" s="8"/>
      <c r="F67" s="9"/>
      <c r="G67" s="8"/>
      <c r="H67" s="8"/>
      <c r="I67" s="8"/>
      <c r="J67" s="8"/>
      <c r="K67" s="8"/>
      <c r="L67" s="8"/>
      <c r="M67" s="8"/>
      <c r="N67" s="8"/>
      <c r="O67" s="8"/>
      <c r="P67" s="8"/>
      <c r="Q67" s="8"/>
      <c r="R67" s="8"/>
      <c r="S67" s="8"/>
      <c r="T67" s="8"/>
    </row>
    <row r="68" spans="1:250" ht="15" x14ac:dyDescent="0.25">
      <c r="B68" s="24" t="s">
        <v>73</v>
      </c>
      <c r="C68" s="24"/>
      <c r="D68" s="25">
        <f>SUM(D62,D66)</f>
        <v>0</v>
      </c>
      <c r="E68" s="25"/>
      <c r="F68" s="26"/>
      <c r="G68" s="25">
        <f>SUM(G62,G66)</f>
        <v>0</v>
      </c>
      <c r="H68" s="25"/>
      <c r="I68" s="25"/>
      <c r="J68" s="25">
        <f>SUM(J62,J66)</f>
        <v>0</v>
      </c>
      <c r="K68" s="25"/>
      <c r="L68" s="25"/>
      <c r="M68" s="25">
        <f>SUM(M62,M66)</f>
        <v>0</v>
      </c>
      <c r="N68" s="25"/>
      <c r="O68" s="25"/>
      <c r="P68" s="25">
        <f>SUM(P62,P66)</f>
        <v>0</v>
      </c>
      <c r="Q68" s="25"/>
      <c r="R68" s="25"/>
      <c r="S68" s="25">
        <f t="shared" si="1"/>
        <v>0</v>
      </c>
      <c r="T68" s="10"/>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row>
  </sheetData>
  <sheetProtection formatCells="0" formatColumns="0" formatRows="0" insertHyperlinks="0" sort="0" autoFilter="0"/>
  <phoneticPr fontId="1" type="noConversion"/>
  <printOptions gridLines="1"/>
  <pageMargins left="0.75" right="0.75" top="1" bottom="1" header="0.5" footer="0.5"/>
  <pageSetup scale="7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selection activeCell="A41" sqref="A41:H42"/>
    </sheetView>
  </sheetViews>
  <sheetFormatPr defaultRowHeight="12.75" x14ac:dyDescent="0.2"/>
  <cols>
    <col min="1" max="1" width="45.85546875" customWidth="1"/>
    <col min="7" max="7" width="15.42578125" bestFit="1" customWidth="1"/>
  </cols>
  <sheetData>
    <row r="1" spans="1:8" x14ac:dyDescent="0.2">
      <c r="A1" t="s">
        <v>152</v>
      </c>
    </row>
    <row r="2" spans="1:8" x14ac:dyDescent="0.2">
      <c r="A2" t="s">
        <v>156</v>
      </c>
    </row>
    <row r="3" spans="1:8" x14ac:dyDescent="0.2">
      <c r="B3" s="2" t="s">
        <v>166</v>
      </c>
      <c r="C3" s="2" t="s">
        <v>167</v>
      </c>
      <c r="D3" s="2" t="s">
        <v>168</v>
      </c>
      <c r="E3" s="2" t="s">
        <v>169</v>
      </c>
      <c r="F3" s="2" t="s">
        <v>170</v>
      </c>
      <c r="G3" s="2" t="s">
        <v>171</v>
      </c>
      <c r="H3" s="2" t="s">
        <v>172</v>
      </c>
    </row>
    <row r="4" spans="1:8" x14ac:dyDescent="0.2">
      <c r="A4" s="1" t="s">
        <v>153</v>
      </c>
    </row>
    <row r="5" spans="1:8" x14ac:dyDescent="0.2">
      <c r="A5" t="s">
        <v>154</v>
      </c>
      <c r="H5">
        <f>SUM((B5*C5*D5),(B5*C5*E5),(B5*F5),(B5*G5))</f>
        <v>0</v>
      </c>
    </row>
    <row r="6" spans="1:8" x14ac:dyDescent="0.2">
      <c r="A6" t="s">
        <v>155</v>
      </c>
      <c r="H6">
        <f t="shared" ref="H6:H42" si="0">SUM((B6*C6*D6),(B6*C6*E6),(B6*F6),(B6*G6))</f>
        <v>0</v>
      </c>
    </row>
    <row r="7" spans="1:8" x14ac:dyDescent="0.2">
      <c r="A7" t="s">
        <v>157</v>
      </c>
      <c r="H7">
        <f t="shared" si="0"/>
        <v>0</v>
      </c>
    </row>
    <row r="8" spans="1:8" x14ac:dyDescent="0.2">
      <c r="A8" t="s">
        <v>158</v>
      </c>
      <c r="H8">
        <f t="shared" si="0"/>
        <v>0</v>
      </c>
    </row>
    <row r="9" spans="1:8" x14ac:dyDescent="0.2">
      <c r="A9" s="5" t="s">
        <v>159</v>
      </c>
      <c r="B9" s="5"/>
      <c r="C9" s="5"/>
      <c r="D9" s="5"/>
      <c r="E9" s="5"/>
      <c r="F9" s="5"/>
      <c r="G9" s="5"/>
      <c r="H9" s="5">
        <f t="shared" si="0"/>
        <v>0</v>
      </c>
    </row>
    <row r="10" spans="1:8" x14ac:dyDescent="0.2">
      <c r="A10" s="5" t="s">
        <v>160</v>
      </c>
      <c r="B10" s="5"/>
      <c r="C10" s="5"/>
      <c r="D10" s="5"/>
      <c r="E10" s="5"/>
      <c r="F10" s="5"/>
      <c r="G10" s="5"/>
      <c r="H10" s="5">
        <f t="shared" si="0"/>
        <v>0</v>
      </c>
    </row>
    <row r="11" spans="1:8" x14ac:dyDescent="0.2">
      <c r="A11" s="33" t="s">
        <v>161</v>
      </c>
      <c r="H11" s="1">
        <f t="shared" si="0"/>
        <v>0</v>
      </c>
    </row>
    <row r="12" spans="1:8" x14ac:dyDescent="0.2">
      <c r="A12" s="1" t="s">
        <v>162</v>
      </c>
    </row>
    <row r="13" spans="1:8" x14ac:dyDescent="0.2">
      <c r="A13" t="s">
        <v>154</v>
      </c>
      <c r="H13">
        <f t="shared" si="0"/>
        <v>0</v>
      </c>
    </row>
    <row r="14" spans="1:8" x14ac:dyDescent="0.2">
      <c r="A14" t="s">
        <v>155</v>
      </c>
      <c r="H14">
        <f t="shared" si="0"/>
        <v>0</v>
      </c>
    </row>
    <row r="15" spans="1:8" x14ac:dyDescent="0.2">
      <c r="A15" t="s">
        <v>157</v>
      </c>
      <c r="H15">
        <f t="shared" si="0"/>
        <v>0</v>
      </c>
    </row>
    <row r="16" spans="1:8" x14ac:dyDescent="0.2">
      <c r="A16" t="s">
        <v>158</v>
      </c>
      <c r="H16">
        <f t="shared" si="0"/>
        <v>0</v>
      </c>
    </row>
    <row r="17" spans="1:8" x14ac:dyDescent="0.2">
      <c r="A17" s="5" t="s">
        <v>159</v>
      </c>
      <c r="B17" s="5"/>
      <c r="C17" s="5"/>
      <c r="D17" s="5"/>
      <c r="E17" s="5"/>
      <c r="F17" s="5"/>
      <c r="G17" s="5"/>
      <c r="H17" s="5">
        <f t="shared" si="0"/>
        <v>0</v>
      </c>
    </row>
    <row r="18" spans="1:8" x14ac:dyDescent="0.2">
      <c r="A18" s="5" t="s">
        <v>160</v>
      </c>
      <c r="B18" s="5"/>
      <c r="C18" s="5"/>
      <c r="D18" s="5"/>
      <c r="E18" s="5"/>
      <c r="F18" s="5"/>
      <c r="G18" s="5"/>
      <c r="H18" s="5">
        <f t="shared" si="0"/>
        <v>0</v>
      </c>
    </row>
    <row r="19" spans="1:8" x14ac:dyDescent="0.2">
      <c r="A19" s="33" t="s">
        <v>162</v>
      </c>
      <c r="H19" s="1">
        <f>SUM(H13:H18)</f>
        <v>0</v>
      </c>
    </row>
    <row r="20" spans="1:8" x14ac:dyDescent="0.2">
      <c r="A20" s="1" t="s">
        <v>163</v>
      </c>
    </row>
    <row r="21" spans="1:8" x14ac:dyDescent="0.2">
      <c r="A21" t="s">
        <v>154</v>
      </c>
      <c r="H21">
        <f t="shared" si="0"/>
        <v>0</v>
      </c>
    </row>
    <row r="22" spans="1:8" x14ac:dyDescent="0.2">
      <c r="A22" t="s">
        <v>155</v>
      </c>
      <c r="H22">
        <f t="shared" si="0"/>
        <v>0</v>
      </c>
    </row>
    <row r="23" spans="1:8" x14ac:dyDescent="0.2">
      <c r="A23" t="s">
        <v>157</v>
      </c>
      <c r="H23">
        <f t="shared" si="0"/>
        <v>0</v>
      </c>
    </row>
    <row r="24" spans="1:8" x14ac:dyDescent="0.2">
      <c r="A24" t="s">
        <v>158</v>
      </c>
      <c r="H24">
        <f t="shared" si="0"/>
        <v>0</v>
      </c>
    </row>
    <row r="25" spans="1:8" x14ac:dyDescent="0.2">
      <c r="A25" s="5" t="s">
        <v>159</v>
      </c>
      <c r="B25" s="5"/>
      <c r="C25" s="5"/>
      <c r="D25" s="5"/>
      <c r="E25" s="5"/>
      <c r="F25" s="5"/>
      <c r="G25" s="5"/>
      <c r="H25" s="5">
        <f t="shared" si="0"/>
        <v>0</v>
      </c>
    </row>
    <row r="26" spans="1:8" x14ac:dyDescent="0.2">
      <c r="A26" s="5" t="s">
        <v>160</v>
      </c>
      <c r="B26" s="5"/>
      <c r="C26" s="5"/>
      <c r="D26" s="5"/>
      <c r="E26" s="5"/>
      <c r="F26" s="5"/>
      <c r="G26" s="5"/>
      <c r="H26" s="5">
        <f t="shared" si="0"/>
        <v>0</v>
      </c>
    </row>
    <row r="27" spans="1:8" x14ac:dyDescent="0.2">
      <c r="A27" s="33" t="s">
        <v>163</v>
      </c>
      <c r="H27" s="1">
        <f>SUM(H21:H26)</f>
        <v>0</v>
      </c>
    </row>
    <row r="28" spans="1:8" x14ac:dyDescent="0.2">
      <c r="A28" s="1" t="s">
        <v>164</v>
      </c>
    </row>
    <row r="29" spans="1:8" x14ac:dyDescent="0.2">
      <c r="A29" t="s">
        <v>154</v>
      </c>
      <c r="H29">
        <f t="shared" si="0"/>
        <v>0</v>
      </c>
    </row>
    <row r="30" spans="1:8" x14ac:dyDescent="0.2">
      <c r="A30" t="s">
        <v>155</v>
      </c>
      <c r="H30">
        <f t="shared" si="0"/>
        <v>0</v>
      </c>
    </row>
    <row r="31" spans="1:8" x14ac:dyDescent="0.2">
      <c r="A31" t="s">
        <v>157</v>
      </c>
      <c r="H31">
        <f t="shared" si="0"/>
        <v>0</v>
      </c>
    </row>
    <row r="32" spans="1:8" x14ac:dyDescent="0.2">
      <c r="A32" t="s">
        <v>158</v>
      </c>
      <c r="H32">
        <f t="shared" si="0"/>
        <v>0</v>
      </c>
    </row>
    <row r="33" spans="1:8" x14ac:dyDescent="0.2">
      <c r="A33" s="5" t="s">
        <v>159</v>
      </c>
      <c r="B33" s="5"/>
      <c r="C33" s="5"/>
      <c r="D33" s="5"/>
      <c r="E33" s="5"/>
      <c r="F33" s="5"/>
      <c r="G33" s="5"/>
      <c r="H33" s="5">
        <f t="shared" si="0"/>
        <v>0</v>
      </c>
    </row>
    <row r="34" spans="1:8" x14ac:dyDescent="0.2">
      <c r="A34" s="5" t="s">
        <v>160</v>
      </c>
      <c r="B34" s="5"/>
      <c r="C34" s="5"/>
      <c r="D34" s="5"/>
      <c r="E34" s="5"/>
      <c r="F34" s="5"/>
      <c r="G34" s="5"/>
      <c r="H34" s="5">
        <f t="shared" si="0"/>
        <v>0</v>
      </c>
    </row>
    <row r="35" spans="1:8" x14ac:dyDescent="0.2">
      <c r="A35" s="33" t="s">
        <v>164</v>
      </c>
      <c r="H35" s="1">
        <f>SUM(H29:H34)</f>
        <v>0</v>
      </c>
    </row>
    <row r="36" spans="1:8" x14ac:dyDescent="0.2">
      <c r="A36" s="1" t="s">
        <v>165</v>
      </c>
    </row>
    <row r="37" spans="1:8" x14ac:dyDescent="0.2">
      <c r="A37" t="s">
        <v>154</v>
      </c>
      <c r="H37">
        <f t="shared" si="0"/>
        <v>0</v>
      </c>
    </row>
    <row r="38" spans="1:8" x14ac:dyDescent="0.2">
      <c r="A38" t="s">
        <v>155</v>
      </c>
      <c r="H38">
        <f t="shared" si="0"/>
        <v>0</v>
      </c>
    </row>
    <row r="39" spans="1:8" x14ac:dyDescent="0.2">
      <c r="A39" t="s">
        <v>157</v>
      </c>
      <c r="H39">
        <f t="shared" si="0"/>
        <v>0</v>
      </c>
    </row>
    <row r="40" spans="1:8" x14ac:dyDescent="0.2">
      <c r="A40" t="s">
        <v>158</v>
      </c>
      <c r="H40">
        <f t="shared" si="0"/>
        <v>0</v>
      </c>
    </row>
    <row r="41" spans="1:8" x14ac:dyDescent="0.2">
      <c r="A41" s="5" t="s">
        <v>159</v>
      </c>
      <c r="B41" s="5"/>
      <c r="C41" s="5"/>
      <c r="D41" s="5"/>
      <c r="E41" s="5"/>
      <c r="F41" s="5"/>
      <c r="G41" s="5"/>
      <c r="H41" s="5">
        <f t="shared" si="0"/>
        <v>0</v>
      </c>
    </row>
    <row r="42" spans="1:8" x14ac:dyDescent="0.2">
      <c r="A42" s="5" t="s">
        <v>160</v>
      </c>
      <c r="B42" s="5"/>
      <c r="C42" s="5"/>
      <c r="D42" s="5"/>
      <c r="E42" s="5"/>
      <c r="F42" s="5"/>
      <c r="G42" s="5"/>
      <c r="H42" s="5">
        <f t="shared" si="0"/>
        <v>0</v>
      </c>
    </row>
    <row r="43" spans="1:8" x14ac:dyDescent="0.2">
      <c r="A43" s="33" t="s">
        <v>165</v>
      </c>
      <c r="H43" s="1">
        <f>SUM(H37:H42)</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workbookViewId="0">
      <selection activeCell="A49" sqref="A49"/>
    </sheetView>
  </sheetViews>
  <sheetFormatPr defaultRowHeight="12.75" x14ac:dyDescent="0.2"/>
  <cols>
    <col min="1" max="1" width="38.7109375" bestFit="1" customWidth="1"/>
    <col min="2" max="2" width="11.140625" bestFit="1" customWidth="1"/>
    <col min="4" max="4" width="27.42578125" customWidth="1"/>
  </cols>
  <sheetData>
    <row r="1" spans="1:4" x14ac:dyDescent="0.2">
      <c r="A1" s="34" t="s">
        <v>74</v>
      </c>
      <c r="B1" s="34"/>
    </row>
    <row r="2" spans="1:4" x14ac:dyDescent="0.2">
      <c r="A2" s="1" t="s">
        <v>75</v>
      </c>
      <c r="B2" s="18">
        <v>125000</v>
      </c>
      <c r="D2" s="1"/>
    </row>
    <row r="3" spans="1:4" x14ac:dyDescent="0.2">
      <c r="A3" s="1" t="s">
        <v>80</v>
      </c>
    </row>
    <row r="4" spans="1:4" x14ac:dyDescent="0.2">
      <c r="A4" s="2" t="s">
        <v>40</v>
      </c>
      <c r="B4" s="18">
        <f>IF(B2&lt;106800,(B2*0.062),6621.6)</f>
        <v>6621.6</v>
      </c>
    </row>
    <row r="5" spans="1:4" x14ac:dyDescent="0.2">
      <c r="A5" s="2" t="s">
        <v>41</v>
      </c>
      <c r="B5" s="18">
        <f>B2*'Lock this tab'!B11</f>
        <v>1812.5</v>
      </c>
    </row>
    <row r="6" spans="1:4" x14ac:dyDescent="0.2">
      <c r="A6" s="2" t="s">
        <v>42</v>
      </c>
      <c r="B6" s="18">
        <f>B2*'Lock this tab'!B12</f>
        <v>1275</v>
      </c>
    </row>
    <row r="7" spans="1:4" x14ac:dyDescent="0.2">
      <c r="A7" s="2" t="s">
        <v>46</v>
      </c>
      <c r="B7" s="18">
        <f>VLOOKUP(A7,'Lock this tab'!A1:B7,2)</f>
        <v>3924</v>
      </c>
    </row>
    <row r="8" spans="1:4" x14ac:dyDescent="0.2">
      <c r="A8" s="2" t="s">
        <v>50</v>
      </c>
      <c r="B8" s="18">
        <f>B2*'Lock this tab'!B13</f>
        <v>1237.5</v>
      </c>
    </row>
    <row r="9" spans="1:4" x14ac:dyDescent="0.2">
      <c r="A9" t="s">
        <v>78</v>
      </c>
      <c r="B9" s="28">
        <f>VLOOKUP(A9,'Lock this tab'!A15:B17,2)</f>
        <v>0.104</v>
      </c>
      <c r="C9">
        <f>B9*B2</f>
        <v>13000</v>
      </c>
    </row>
    <row r="10" spans="1:4" x14ac:dyDescent="0.2">
      <c r="A10" s="2" t="s">
        <v>55</v>
      </c>
      <c r="B10" s="18">
        <f>B2*'Lock this tab'!B14</f>
        <v>825</v>
      </c>
    </row>
    <row r="11" spans="1:4" x14ac:dyDescent="0.2">
      <c r="A11" s="2" t="s">
        <v>56</v>
      </c>
      <c r="B11" s="18">
        <v>480</v>
      </c>
    </row>
    <row r="12" spans="1:4" x14ac:dyDescent="0.2">
      <c r="A12" s="1" t="s">
        <v>76</v>
      </c>
      <c r="B12" s="20">
        <f>SUM(B4,B5,B6,B7,B8,C9,B10,B11)/B2</f>
        <v>0.2334048</v>
      </c>
    </row>
    <row r="14" spans="1:4" x14ac:dyDescent="0.2">
      <c r="A14" s="35" t="s">
        <v>77</v>
      </c>
    </row>
    <row r="15" spans="1:4" x14ac:dyDescent="0.2">
      <c r="A15" s="35"/>
    </row>
    <row r="16" spans="1:4" x14ac:dyDescent="0.2">
      <c r="A16" s="35"/>
    </row>
    <row r="17" spans="1:4" x14ac:dyDescent="0.2">
      <c r="A17" s="1"/>
      <c r="B17" s="18"/>
      <c r="D17" s="1"/>
    </row>
  </sheetData>
  <mergeCells count="2">
    <mergeCell ref="A1:B1"/>
    <mergeCell ref="A14:A16"/>
  </mergeCells>
  <phoneticPr fontId="1" type="noConversion"/>
  <pageMargins left="0.75" right="0.75" top="1" bottom="1" header="0.5" footer="0.5"/>
  <headerFooter alignWithMargins="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errorTitle="You must select a plan" error="You must select a plan" promptTitle="Select Appropriate Health Plan" prompt="Select the health plan from the drop down list or select &quot;None.&quot;" xr:uid="{00000000-0002-0000-0300-000000000000}">
          <x14:formula1>
            <xm:f>'Lock this tab'!$A$1:$A$7</xm:f>
          </x14:formula1>
          <xm:sqref>A7</xm:sqref>
        </x14:dataValidation>
        <x14:dataValidation type="list" allowBlank="1" showInputMessage="1" showErrorMessage="1" promptTitle="Select Teacher's Annuity Rate" prompt="Select Teacher Annuity Rate based on hire date, or select N/A to exclude this from fringe benefit." xr:uid="{00000000-0002-0000-0300-000001000000}">
          <x14:formula1>
            <xm:f>'Lock this tab'!$A$15:$A$17</xm:f>
          </x14:formula1>
          <xm:sqref>A9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9"/>
  <sheetViews>
    <sheetView workbookViewId="0">
      <selection activeCell="B13" sqref="B13"/>
    </sheetView>
  </sheetViews>
  <sheetFormatPr defaultRowHeight="12.75" x14ac:dyDescent="0.2"/>
  <cols>
    <col min="1" max="1" width="30" customWidth="1"/>
  </cols>
  <sheetData>
    <row r="1" spans="1:2" x14ac:dyDescent="0.2">
      <c r="A1" s="2" t="s">
        <v>44</v>
      </c>
      <c r="B1" s="17">
        <v>8232</v>
      </c>
    </row>
    <row r="2" spans="1:2" x14ac:dyDescent="0.2">
      <c r="A2" s="2" t="s">
        <v>45</v>
      </c>
      <c r="B2" s="17">
        <v>12024</v>
      </c>
    </row>
    <row r="3" spans="1:2" x14ac:dyDescent="0.2">
      <c r="A3" s="2" t="s">
        <v>43</v>
      </c>
      <c r="B3" s="17">
        <v>4596</v>
      </c>
    </row>
    <row r="4" spans="1:2" x14ac:dyDescent="0.2">
      <c r="A4" s="2" t="s">
        <v>47</v>
      </c>
      <c r="B4" s="17">
        <v>7272</v>
      </c>
    </row>
    <row r="5" spans="1:2" x14ac:dyDescent="0.2">
      <c r="A5" s="2" t="s">
        <v>48</v>
      </c>
      <c r="B5" s="17">
        <v>10632</v>
      </c>
    </row>
    <row r="6" spans="1:2" x14ac:dyDescent="0.2">
      <c r="A6" s="2" t="s">
        <v>46</v>
      </c>
      <c r="B6" s="17">
        <v>3924</v>
      </c>
    </row>
    <row r="7" spans="1:2" x14ac:dyDescent="0.2">
      <c r="A7" s="2" t="s">
        <v>49</v>
      </c>
      <c r="B7" s="17">
        <v>0</v>
      </c>
    </row>
    <row r="9" spans="1:2" x14ac:dyDescent="0.2">
      <c r="A9" s="2" t="s">
        <v>51</v>
      </c>
      <c r="B9" s="19">
        <v>6.5799999999999997E-2</v>
      </c>
    </row>
    <row r="10" spans="1:2" x14ac:dyDescent="0.2">
      <c r="A10" s="2" t="s">
        <v>40</v>
      </c>
      <c r="B10" s="19">
        <v>6.2E-2</v>
      </c>
    </row>
    <row r="11" spans="1:2" x14ac:dyDescent="0.2">
      <c r="A11" s="2" t="s">
        <v>41</v>
      </c>
      <c r="B11" s="19">
        <v>1.4500000000000001E-2</v>
      </c>
    </row>
    <row r="12" spans="1:2" x14ac:dyDescent="0.2">
      <c r="A12" s="2" t="s">
        <v>42</v>
      </c>
      <c r="B12" s="19">
        <v>1.0200000000000001E-2</v>
      </c>
    </row>
    <row r="13" spans="1:2" x14ac:dyDescent="0.2">
      <c r="A13" s="2" t="s">
        <v>52</v>
      </c>
      <c r="B13" s="19">
        <v>9.9000000000000008E-3</v>
      </c>
    </row>
    <row r="14" spans="1:2" x14ac:dyDescent="0.2">
      <c r="A14" s="2" t="s">
        <v>53</v>
      </c>
      <c r="B14" s="19">
        <v>6.6E-3</v>
      </c>
    </row>
    <row r="15" spans="1:2" x14ac:dyDescent="0.2">
      <c r="A15" s="2" t="s">
        <v>78</v>
      </c>
      <c r="B15" s="27">
        <v>0.104</v>
      </c>
    </row>
    <row r="16" spans="1:2" x14ac:dyDescent="0.2">
      <c r="A16" s="2" t="s">
        <v>79</v>
      </c>
      <c r="B16" s="19">
        <v>8.5000000000000006E-2</v>
      </c>
    </row>
    <row r="17" spans="1:2" x14ac:dyDescent="0.2">
      <c r="A17" s="2" t="s">
        <v>54</v>
      </c>
      <c r="B17" s="19">
        <v>0</v>
      </c>
    </row>
    <row r="18" spans="1:2" x14ac:dyDescent="0.2">
      <c r="B18" s="19"/>
    </row>
    <row r="19" spans="1:2" x14ac:dyDescent="0.2">
      <c r="B19" s="19"/>
    </row>
  </sheetData>
  <sheetProtection password="DD3E" sheet="1" objects="1" scenarios="1"/>
  <sortState xmlns:xlrd2="http://schemas.microsoft.com/office/spreadsheetml/2017/richdata2" ref="A1:B7">
    <sortCondition ref="A1"/>
  </sortState>
  <phoneticPr fontId="1"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Budget Prep Guide</vt:lpstr>
      <vt:lpstr>Proposal Budget</vt:lpstr>
      <vt:lpstr>Travel Estimator</vt:lpstr>
      <vt:lpstr>Fringe Worksheet</vt:lpstr>
      <vt:lpstr>Lock this tab</vt:lpstr>
    </vt:vector>
  </TitlesOfParts>
  <Company>College of William and Mary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Corbett, Cynthia A</cp:lastModifiedBy>
  <cp:lastPrinted>2003-06-25T20:01:59Z</cp:lastPrinted>
  <dcterms:created xsi:type="dcterms:W3CDTF">2003-06-19T18:19:52Z</dcterms:created>
  <dcterms:modified xsi:type="dcterms:W3CDTF">2021-03-01T17:35:16Z</dcterms:modified>
</cp:coreProperties>
</file>