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3" activeTab="4"/>
  </bookViews>
  <sheets>
    <sheet name="Overview" sheetId="1" r:id="rId1"/>
    <sheet name="XMLFile" sheetId="2" r:id="rId2"/>
    <sheet name="CDS-CHANGES" sheetId="3" r:id="rId3"/>
    <sheet name="CDS-A" sheetId="4" r:id="rId4"/>
    <sheet name="CDS-B" sheetId="5" r:id="rId5"/>
    <sheet name="CDS-C" sheetId="6" r:id="rId6"/>
    <sheet name="CDS-D" sheetId="7" r:id="rId7"/>
    <sheet name="CDS-E" sheetId="8" r:id="rId8"/>
    <sheet name="CDS-F" sheetId="9" r:id="rId9"/>
    <sheet name="CDS-G" sheetId="10" r:id="rId10"/>
    <sheet name="CDS-H" sheetId="11" r:id="rId11"/>
    <sheet name="CDS-I" sheetId="12" r:id="rId12"/>
    <sheet name="CDS-J" sheetId="13" r:id="rId13"/>
    <sheet name="CDS Definitions" sheetId="14" r:id="rId14"/>
    <sheet name="XML Calculations" sheetId="15" r:id="rId15"/>
  </sheets>
  <definedNames>
    <definedName name="AcademicCalendar">'XML Calculations'!$E$47</definedName>
    <definedName name="AcademicCalendar1">'CDS-A'!$C$65</definedName>
    <definedName name="AcademicCalendar2">'CDS-A'!$C$66</definedName>
    <definedName name="AcademicCalendar3">'CDS-A'!$C$67</definedName>
    <definedName name="AcademicCalendar4">'CDS-A'!$C$68</definedName>
    <definedName name="AcademicCalendar5">'CDS-A'!$C$69</definedName>
    <definedName name="AcademicCalendar6">'CDS-A'!$C$70</definedName>
    <definedName name="AcademicCalendar7">'CDS-A'!$C$72</definedName>
    <definedName name="AcademicCalendarDiffersDescription">'CDS-A'!$B$71</definedName>
    <definedName name="AcademicCalendarOtherDescription">'CDS-A'!$B$73</definedName>
    <definedName name="AcceptanceOtherThanFall1">'CDS-C'!$E$216</definedName>
    <definedName name="AcceptanceOtherThanFall2">'CDS-C'!$F$216</definedName>
    <definedName name="ActivitiesOfferedCampusMinistries">'CDS-F'!$C$16</definedName>
    <definedName name="ActivitiesOfferedChoir">'CDS-F'!$C$17</definedName>
    <definedName name="ActivitiesOfferedConcertBand">'CDS-F'!$C$18</definedName>
    <definedName name="ActivitiesOfferedDance">'CDS-F'!$C$19</definedName>
    <definedName name="ActivitiesOfferedDrama">'CDS-F'!$C$20</definedName>
    <definedName name="ActivitiesOfferedFilmSociety">'CDS-F'!$C$33</definedName>
    <definedName name="ActivitiesOfferedInternationalStudentOrg">'CDS-F'!$C$21</definedName>
    <definedName name="ActivitiesOfferedJazz">'CDS-F'!$C$22</definedName>
    <definedName name="ActivitiesOfferedLiteraryMagazine">'CDS-F'!$C$23</definedName>
    <definedName name="ActivitiesOfferedMarchingBand">'CDS-F'!$C$24</definedName>
    <definedName name="ActivitiesOfferedModelUN">'CDS-F'!$C$25</definedName>
    <definedName name="ActivitiesOfferedMusicalTheater">'CDS-F'!$C$27</definedName>
    <definedName name="ActivitiesOfferedMusicEnsembles">'CDS-F'!$C$26</definedName>
    <definedName name="ActivitiesOfferedNewspaper">'CDS-F'!$C$32</definedName>
    <definedName name="ActivitiesOfferedOpera">'CDS-F'!$C$28</definedName>
    <definedName name="ActivitiesOfferedOrchestra">'CDS-F'!$C$34</definedName>
    <definedName name="ActivitiesOfferedPepBand">'CDS-F'!$C$29</definedName>
    <definedName name="ActivitiesOfferedRadio">'CDS-F'!$C$30</definedName>
    <definedName name="ActivitiesOfferedStudentGovernment">'CDS-F'!$C$31</definedName>
    <definedName name="ActivitiesOfferedTelevision">'CDS-F'!$C$35</definedName>
    <definedName name="ActivitiesOfferedYearbook">'CDS-F'!$C$36</definedName>
    <definedName name="ACTSubmissionNumber">'CDS-C'!$F$142</definedName>
    <definedName name="ACTSubmissionPercent">'CDS-C'!$C$142</definedName>
    <definedName name="ACTTestPolicyWriting_1">'CDS-C'!$E$104</definedName>
    <definedName name="ACTTestPolicyWriting_2">'CDS-C'!$E$105</definedName>
    <definedName name="ACTTestPolicyWriting_3">'CDS-C'!$E$106</definedName>
    <definedName name="Address1">'CDS-A'!$C$27</definedName>
    <definedName name="Address2">'CDS-A'!$C$28</definedName>
    <definedName name="AdmissionsAddress1">'CDS-A'!$C$43</definedName>
    <definedName name="AdmissionsAddress2">'CDS-A'!$C$44</definedName>
    <definedName name="AdmissionsCity">'CDS-A'!$C$45</definedName>
    <definedName name="AdmissionsCountry">'CDS-A'!$C$48</definedName>
    <definedName name="AdmissionSelectionAcademicApplicationEssay_1">'CDS-C'!$C$73</definedName>
    <definedName name="AdmissionSelectionAcademicApplicationEssay_2">'CDS-C'!$D$73</definedName>
    <definedName name="AdmissionSelectionAcademicApplicationEssay_3">'CDS-C'!$E$73</definedName>
    <definedName name="AdmissionSelectionAcademicApplicationEssay_4">'CDS-C'!$F$73</definedName>
    <definedName name="AdmissionSelectionAcademicClassRank_1">'CDS-C'!$C$70</definedName>
    <definedName name="AdmissionSelectionAcademicClassRank_2">'CDS-C'!$D$70</definedName>
    <definedName name="AdmissionSelectionAcademicClassRank_3">'CDS-C'!$E$70</definedName>
    <definedName name="AdmissionSelectionAcademicClassRank_4">'CDS-C'!$F$70</definedName>
    <definedName name="AdmissionSelectionAcademicGPA_1">'CDS-C'!$C$71</definedName>
    <definedName name="AdmissionSelectionAcademicGPA_2">'CDS-C'!$D$71</definedName>
    <definedName name="AdmissionSelectionAcademicGPA_3">'CDS-C'!$E$71</definedName>
    <definedName name="AdmissionSelectionAcademicGPA_4">'CDS-C'!$F$71</definedName>
    <definedName name="AdmissionSelectionAcademicRecommendations_1">'CDS-C'!$C$74</definedName>
    <definedName name="AdmissionSelectionAcademicRecommendations_2">'CDS-C'!$D$74</definedName>
    <definedName name="AdmissionSelectionAcademicRecommendations_3">'CDS-C'!$E$74</definedName>
    <definedName name="AdmissionSelectionAcademicRecommendations_4">'CDS-C'!$F$74</definedName>
    <definedName name="AdmissionSelectionAcademicRigorHighSchoolRecord_1">'CDS-C'!$C$69</definedName>
    <definedName name="AdmissionSelectionAcademicRigorHighSchoolRecord_2">'CDS-C'!$D$69</definedName>
    <definedName name="AdmissionSelectionAcademicRigorHighSchoolRecord_3">'CDS-C'!$E$69</definedName>
    <definedName name="AdmissionSelectionAcademicRigorHighSchoolRecord_4">'CDS-C'!$F$69</definedName>
    <definedName name="AdmissionSelectionAcademicStandardizedTestScores_1">'CDS-C'!$C$72</definedName>
    <definedName name="AdmissionSelectionAcademicStandardizedTestScores_2">'CDS-C'!$D$72</definedName>
    <definedName name="AdmissionSelectionAcademicStandardizedTestScores_3">'CDS-C'!$E$72</definedName>
    <definedName name="AdmissionSelectionAcademicStandardizedTestScores_4">'CDS-C'!$F$72</definedName>
    <definedName name="AdmissionSelectionNonAcademicAlumni_1">'CDS-C'!$C$81</definedName>
    <definedName name="AdmissionSelectionNonAcademicAlumni_2">'CDS-C'!$D$81</definedName>
    <definedName name="AdmissionSelectionNonAcademicAlumni_3">'CDS-C'!$E$81</definedName>
    <definedName name="AdmissionSelectionNonAcademicAlumni_4">'CDS-C'!$F$81</definedName>
    <definedName name="AdmissionSelectionNonAcademicCharacter_1">'CDS-C'!$C$79</definedName>
    <definedName name="AdmissionSelectionNonAcademicCharacter_2">'CDS-C'!$D$79</definedName>
    <definedName name="AdmissionSelectionNonAcademicCharacter_3">'CDS-C'!$E$79</definedName>
    <definedName name="AdmissionSelectionNonAcademicCharacter_4">'CDS-C'!$F$79</definedName>
    <definedName name="AdmissionSelectionNonAcademicExtracurrics_1">'CDS-C'!$C$77</definedName>
    <definedName name="AdmissionSelectionNonAcademicExtracurrics_2">'CDS-C'!$D$77</definedName>
    <definedName name="AdmissionSelectionNonAcademicExtracurrics_3">'CDS-C'!$E$77</definedName>
    <definedName name="AdmissionSelectionNonAcademicExtracurrics_4">'CDS-C'!$F$77</definedName>
    <definedName name="AdmissionSelectionNonAcademicFirstGeneration_1">'CDS-C'!$C$80</definedName>
    <definedName name="AdmissionSelectionNonAcademicFirstGeneration_2">'CDS-C'!$D$80</definedName>
    <definedName name="AdmissionSelectionNonAcademicFirstGeneration_3">'CDS-C'!$E$80</definedName>
    <definedName name="AdmissionSelectionNonAcademicFirstGeneration_4">'CDS-C'!$F$80</definedName>
    <definedName name="AdmissionSelectionNonAcademicGeographicalResidence_1">'CDS-C'!$C$82</definedName>
    <definedName name="AdmissionSelectionNonAcademicGeographicalResidence_2">'CDS-C'!$D$82</definedName>
    <definedName name="AdmissionSelectionNonAcademicGeographicalResidence_3">'CDS-C'!$E$82</definedName>
    <definedName name="AdmissionSelectionNonAcademicGeographicalResidence_4">'CDS-C'!$F$82</definedName>
    <definedName name="AdmissionSelectionNonAcademicInterestLevel_1">'CDS-C'!$C$88</definedName>
    <definedName name="AdmissionSelectionNonAcademicInterestLevel_2">'CDS-C'!$D$88</definedName>
    <definedName name="AdmissionSelectionNonAcademicInterestLevel_3">'CDS-C'!$E$88</definedName>
    <definedName name="AdmissionSelectionNonAcademicInterestLevel_4">'CDS-C'!$F$88</definedName>
    <definedName name="AdmissionSelectionNonAcademicInterview_1">'CDS-C'!$C$76</definedName>
    <definedName name="AdmissionSelectionNonAcademicInterview_2">'CDS-C'!$D$76</definedName>
    <definedName name="AdmissionSelectionNonAcademicInterview_3">'CDS-C'!$E$76</definedName>
    <definedName name="AdmissionSelectionNonAcademicInterview_4">'CDS-C'!$F$76</definedName>
    <definedName name="AdmissionSelectionNonAcademicRaceEthnicity_1">'CDS-C'!$C$85</definedName>
    <definedName name="AdmissionSelectionNonAcademicRaceEthnicity_2">'CDS-C'!$D$85</definedName>
    <definedName name="AdmissionSelectionNonAcademicRaceEthnicity_3">'CDS-C'!$E$85</definedName>
    <definedName name="AdmissionSelectionNonAcademicRaceEthnicity_4">'CDS-C'!$F$85</definedName>
    <definedName name="AdmissionSelectionNonAcademicReligion_1">'CDS-C'!$C$84</definedName>
    <definedName name="AdmissionSelectionNonAcademicReligion_2">'CDS-C'!$D$84</definedName>
    <definedName name="AdmissionSelectionNonAcademicReligion_3">'CDS-C'!$E$84</definedName>
    <definedName name="AdmissionSelectionNonAcademicReligion_4">'CDS-C'!$F$84</definedName>
    <definedName name="AdmissionSelectionNonAcademicStateResidence_1">'CDS-C'!$C$83</definedName>
    <definedName name="AdmissionSelectionNonAcademicStateResidence_2">'CDS-C'!$D$83</definedName>
    <definedName name="AdmissionSelectionNonAcademicStateResidence_3">'CDS-C'!$E$83</definedName>
    <definedName name="AdmissionSelectionNonAcademicStateResidence_4">'CDS-C'!$F$83</definedName>
    <definedName name="AdmissionSelectionNonAcademicTalent_1">'CDS-C'!$C$78</definedName>
    <definedName name="AdmissionSelectionNonAcademicTalent_2">'CDS-C'!$D$78</definedName>
    <definedName name="AdmissionSelectionNonAcademicTalent_3">'CDS-C'!$E$78</definedName>
    <definedName name="AdmissionSelectionNonAcademicTalent_4">'CDS-C'!$F$78</definedName>
    <definedName name="AdmissionSelectionNonAcademicVolunteerWork_1">'CDS-C'!$C$86</definedName>
    <definedName name="AdmissionSelectionNonAcademicVolunteerWork_2">'CDS-C'!$D$86</definedName>
    <definedName name="AdmissionSelectionNonAcademicVolunteerWork_3">'CDS-C'!$E$86</definedName>
    <definedName name="AdmissionSelectionNonAcademicVolunteerWork_4">'CDS-C'!$F$86</definedName>
    <definedName name="AdmissionSelectionNonAcademicWorkExperience_1">'CDS-C'!$C$87</definedName>
    <definedName name="AdmissionSelectionNonAcademicWorkExperience_2">'CDS-C'!$D$87</definedName>
    <definedName name="AdmissionSelectionNonAcademicWorkExperience_3">'CDS-C'!$E$87</definedName>
    <definedName name="AdmissionSelectionNonAcademicWorkExperience_4">'CDS-C'!$F$87</definedName>
    <definedName name="AdmissionsEmail">'CDS-A'!$C$50</definedName>
    <definedName name="AdmissionsFax">'CDS-A'!$C$49</definedName>
    <definedName name="AdmissionsPhone">'CDS-A'!$C$41</definedName>
    <definedName name="AdmissionsState">'CDS-A'!$C$46</definedName>
    <definedName name="AdmissionsTollFreePhone">'CDS-A'!$C$42</definedName>
    <definedName name="AdmissionsZip">'CDS-A'!$C$47</definedName>
    <definedName name="AdmittedReplyByDate">'CDS-C'!$C$225</definedName>
    <definedName name="AdmittedReplyByMay1">'CDS-C'!$C$227</definedName>
    <definedName name="AdmittedReplyByNoSetDate">'CDS-C'!$C$226</definedName>
    <definedName name="AdmittedReplyByOther">'CDS-C'!$B$229</definedName>
    <definedName name="AdmittedReplyByXWeeksOfMay1">'CDS-C'!$D$227</definedName>
    <definedName name="AidCriteriaNeedBasedAcademics">'CDS-H'!$E$148</definedName>
    <definedName name="AidCriteriaNeedBasedAlumni">'CDS-H'!$E$149</definedName>
    <definedName name="AidCriteriaNeedBasedArt">'CDS-H'!$E$150</definedName>
    <definedName name="AidCriteriaNeedBasedAthletics">'CDS-H'!$E$151</definedName>
    <definedName name="AidCriteriaNeedBasedDrama">'CDS-H'!$E$156</definedName>
    <definedName name="AidCriteriaNeedBasedJobSkills">'CDS-H'!$E$152</definedName>
    <definedName name="AidCriteriaNeedBasedLeadership">'CDS-H'!$E$154</definedName>
    <definedName name="AidCriteriaNeedBasedMinorityStatus">'CDS-H'!$E$155</definedName>
    <definedName name="AidCriteriaNeedBasedReligion">'CDS-H'!$E$157</definedName>
    <definedName name="AidCriteriaNeedBasedResidency">'CDS-H'!$E$158</definedName>
    <definedName name="AidCriteriaNonNeedBasedAcademics">'CDS-H'!$D$148</definedName>
    <definedName name="AidCriteriaNonNeedBasedAlumni">'CDS-H'!$D$149</definedName>
    <definedName name="AidCriteriaNonNeedBasedArt">'CDS-H'!$D$150</definedName>
    <definedName name="AidCriteriaNonNeedBasedAthletics">'CDS-H'!$D$151</definedName>
    <definedName name="AidCriteriaNonNeedBasedDrama">'CDS-H'!$D$156</definedName>
    <definedName name="AidCriteriaNonNeedBasedJobSkills">'CDS-H'!$D$152</definedName>
    <definedName name="AidCriteriaNonNeedBasedLeadership">'CDS-H'!$D$154</definedName>
    <definedName name="AidCriteriaNonNeedBasedMinorityStatus">'CDS-H'!$D$155</definedName>
    <definedName name="AidCriteriaNonNeedBasedReligion">'CDS-H'!$D$157</definedName>
    <definedName name="AidCriteriaNonNeedBasedResidency">'CDS-H'!$D$158</definedName>
    <definedName name="AidCriteriaNonNeedBasedROTC">'CDS-H'!$D$153</definedName>
    <definedName name="AirForceROTCOffCampus">'CDS-F'!$E$42</definedName>
    <definedName name="AirForceROTCOffCampusInstitution">'CDS-F'!$F$42</definedName>
    <definedName name="AirForceROTCOnCampus">'CDS-F'!$C$42</definedName>
    <definedName name="AltMailingAddress">'CDS-A'!$C$52</definedName>
    <definedName name="ApplicationClosingDateFall">'CDS-C'!$C$212</definedName>
    <definedName name="ApplicationDeadline1">'CDS-C'!$C$211</definedName>
    <definedName name="ApplicationDeadline2">'CDS-C'!$D$211</definedName>
    <definedName name="ApplicationFee1">'CDS-C'!$C$196</definedName>
    <definedName name="ApplicationFee2">'CDS-C'!$D$196</definedName>
    <definedName name="ApplicationFeeValue">'CDS-C'!$C$197</definedName>
    <definedName name="ApplicationFeeWaiver1">'CDS-C'!$C$199</definedName>
    <definedName name="ApplicationFeeWaiver2">'CDS-C'!$D$199</definedName>
    <definedName name="ApplicationNotificationByDate">'CDS-C'!$C$220</definedName>
    <definedName name="ApplicationNotificationOther">'CDS-C'!$B$222</definedName>
    <definedName name="ApplicationPriorityDateFall">'CDS-C'!$C$213</definedName>
    <definedName name="ApplicationRollingAdmissionsStartDate">'CDS-C'!$C$219</definedName>
    <definedName name="ArmyROTCOffCampus">'CDS-F'!$E$40</definedName>
    <definedName name="ArmyROTCOffCampusInstitution">'CDS-F'!$F$40</definedName>
    <definedName name="ArmyROTCOnCampus">'CDS-F'!$C$40</definedName>
    <definedName name="AssociatesAgriculture">'CDS-J'!$D$7</definedName>
    <definedName name="AssociatesArchitecture">'CDS-J'!$D$9</definedName>
    <definedName name="AssociatesArts">'CDS-J'!$D$41</definedName>
    <definedName name="AssociatesBiology">'CDS-J'!$D$24</definedName>
    <definedName name="AssociatesBusiness">'CDS-J'!$D$43</definedName>
    <definedName name="AssociatesCommunication">'CDS-J'!$D$12</definedName>
    <definedName name="AssociatesComputerScience">'CDS-J'!$D$13</definedName>
    <definedName name="AssociatesConstruction">'CDS-J'!$D$37</definedName>
    <definedName name="AssociatesConsumerSciences">'CDS-J'!$D$19</definedName>
    <definedName name="AssociatesCulinary">'CDS-J'!$D$14</definedName>
    <definedName name="AssociatesEducation">'CDS-J'!$D$15</definedName>
    <definedName name="AssociatesEngineering">'CDS-J'!$D$16</definedName>
    <definedName name="AssociatesEngineeringTechnology">'CDS-J'!$D$17</definedName>
    <definedName name="AssociatesEnglish">'CDS-J'!$D$21</definedName>
    <definedName name="AssociatesEnvironment">'CDS-J'!$D$8</definedName>
    <definedName name="AssociatesEthnicStudies">'CDS-J'!$D$10</definedName>
    <definedName name="AssociatesForeignLanguage">'CDS-J'!$D$18</definedName>
    <definedName name="AssociatesHealth">'CDS-J'!$D$42</definedName>
    <definedName name="AssociatesHistory">'CDS-J'!$D$44</definedName>
    <definedName name="AssociatesInterdisciplinary">'CDS-J'!$D$27</definedName>
    <definedName name="AssociatesJournalism">'CDS-J'!$D$11</definedName>
    <definedName name="AssociatesLaw">'CDS-J'!$D$20</definedName>
    <definedName name="AssociatesLiberalArts">'CDS-J'!$D$22</definedName>
    <definedName name="AssociatesLibrary">'CDS-J'!$D$23</definedName>
    <definedName name="AssociatesMathematics">'CDS-J'!$D$25</definedName>
    <definedName name="AssociatesMechanicTechnology">'CDS-J'!$D$38</definedName>
    <definedName name="AssociatesMilitary">'CDS-J'!$D$26</definedName>
    <definedName name="AssociatesOther">'CDS-J'!$D$45</definedName>
    <definedName name="AssociatesParks">'CDS-J'!$D$28</definedName>
    <definedName name="AssociatesPhilosophy">'CDS-J'!$D$29</definedName>
    <definedName name="AssociatesPhysicalSciences">'CDS-J'!$D$31</definedName>
    <definedName name="AssociatesPrecisionProduction">'CDS-J'!$D$39</definedName>
    <definedName name="AssociatesPsychology">'CDS-J'!$D$33</definedName>
    <definedName name="AssociatesPublicAdministration">'CDS-J'!$D$35</definedName>
    <definedName name="AssociatesScienceTech">'CDS-J'!$D$32</definedName>
    <definedName name="AssociatesSecurity">'CDS-J'!$D$34</definedName>
    <definedName name="AssociatesSocialSciences">'CDS-J'!$D$36</definedName>
    <definedName name="AssociatesTheology">'CDS-J'!$D$30</definedName>
    <definedName name="AssociatesTotal">'CDS-J'!$D$46</definedName>
    <definedName name="AssociatesTransportation">'CDS-J'!$D$40</definedName>
    <definedName name="AvailableAidGrantsFederalNursing">'CDS-H'!$E$142</definedName>
    <definedName name="AvailableAidGrantsInstitutional">'CDS-H'!$E$140</definedName>
    <definedName name="AvailableAidGrantsOther">'CDS-H'!$B$144</definedName>
    <definedName name="AvailableAidGrantsPell">'CDS-H'!$E$136</definedName>
    <definedName name="AvailableAidGrantsPrivate">'CDS-H'!$E$139</definedName>
    <definedName name="AvailableAidGrantsSEOG">'CDS-H'!$E$137</definedName>
    <definedName name="AvailableAidGrantsState">'CDS-H'!$E$138</definedName>
    <definedName name="AvailableAidGrantsUNCF">'CDS-H'!$E$141</definedName>
    <definedName name="AvailableAidLoansDirectPLUS">'CDS-H'!$E$120</definedName>
    <definedName name="AvailableAidLoansDirectSubsidizedStafford">'CDS-H'!$E$118</definedName>
    <definedName name="AvailableAidLoansDirectUnsubsidizedStafford">'CDS-H'!$E$119</definedName>
    <definedName name="AvailableAidLoansFederalNursing">'CDS-H'!$E$128</definedName>
    <definedName name="AvailableAidLoansFFELPLUS">'CDS-H'!$E$125</definedName>
    <definedName name="AvailableAidLoansFFELSubsidizedStafford">'CDS-H'!$E$123</definedName>
    <definedName name="AvailableAidLoansFFELUnsubsidizedStafford">'CDS-H'!$E$124</definedName>
    <definedName name="AvailableAidLoansInstitutional">'CDS-H'!$E$130</definedName>
    <definedName name="AvailableAidLoansOther">'CDS-H'!$B$132</definedName>
    <definedName name="AvailableAidLoansPerkins">'CDS-H'!$E$127</definedName>
    <definedName name="AvailableAidLoansState">'CDS-H'!$E$129</definedName>
    <definedName name="AverageAgeAllFreshmen">'CDS-F'!$E$13</definedName>
    <definedName name="AverageAgeAllStudents">'CDS-F'!$F$13</definedName>
    <definedName name="AverageAgeFullTimeFreshmen">'CDS-F'!$E$12</definedName>
    <definedName name="AverageAgeFullTimeStudents">'CDS-F'!$F$12</definedName>
    <definedName name="AverageFreshmanGPA">'CDS-C'!$E$190</definedName>
    <definedName name="BachelorsAgriculture">'CDS-J'!$E$7</definedName>
    <definedName name="BachelorsArchitecture">'CDS-J'!$E$9</definedName>
    <definedName name="BachelorsArts">'CDS-J'!$E$41</definedName>
    <definedName name="BachelorsBiology">'CDS-J'!$E$24</definedName>
    <definedName name="BachelorsBusiness">'CDS-J'!$E$43</definedName>
    <definedName name="BachelorsCommunication">'CDS-J'!$E$12</definedName>
    <definedName name="BachelorsComputerScience">'CDS-J'!$E$13</definedName>
    <definedName name="BachelorsConstruction">'CDS-J'!$E$37</definedName>
    <definedName name="BachelorsConsumerSciences">'CDS-J'!$E$19</definedName>
    <definedName name="BachelorsCulinary">'CDS-J'!$E$14</definedName>
    <definedName name="BachelorsEducation">'CDS-J'!$E$15</definedName>
    <definedName name="BachelorsEngineering">'CDS-J'!$E$16</definedName>
    <definedName name="BachelorsEngineeringTechnology">'CDS-J'!$E$17</definedName>
    <definedName name="BachelorsEnglish">'CDS-J'!$E$21</definedName>
    <definedName name="BachelorsEnvironment">'CDS-J'!$E$8</definedName>
    <definedName name="BachelorsEthnicStudies">'CDS-J'!$E$10</definedName>
    <definedName name="BachelorsForeignLanguage">'CDS-J'!$E$18</definedName>
    <definedName name="BachelorsHealth">'CDS-J'!$E$42</definedName>
    <definedName name="BachelorsHistory">'CDS-J'!$E$44</definedName>
    <definedName name="BachelorsInterdisciplinary">'CDS-J'!$E$27</definedName>
    <definedName name="BachelorsJournalism">'CDS-J'!$E$11</definedName>
    <definedName name="BachelorsLaw">'CDS-J'!$E$20</definedName>
    <definedName name="BachelorsLiberalArts">'CDS-J'!$E$22</definedName>
    <definedName name="BachelorsLibrary">'CDS-J'!$E$23</definedName>
    <definedName name="BachelorsMathematics">'CDS-J'!$E$25</definedName>
    <definedName name="BachelorsMechanicTechnology">'CDS-J'!$E$38</definedName>
    <definedName name="BachelorsMilitary">'CDS-J'!$E$26</definedName>
    <definedName name="BachelorsOther">'CDS-J'!$E$45</definedName>
    <definedName name="BachelorsParks">'CDS-J'!$E$28</definedName>
    <definedName name="BachelorsPhilosophy">'CDS-J'!$E$29</definedName>
    <definedName name="BachelorsPhysicalSciences">'CDS-J'!$E$31</definedName>
    <definedName name="BachelorsPrecisionProduction">'CDS-J'!$E$39</definedName>
    <definedName name="BachelorsPsychology">'CDS-J'!$E$33</definedName>
    <definedName name="BachelorsPublicAdministration">'CDS-J'!$E$35</definedName>
    <definedName name="BachelorsScienceTech">'CDS-J'!$E$32</definedName>
    <definedName name="BachelorsSecurity">'CDS-J'!$E$34</definedName>
    <definedName name="BachelorsSocialSciences">'CDS-J'!$E$36</definedName>
    <definedName name="BachelorsTheology">'CDS-J'!$E$30</definedName>
    <definedName name="BachelorsTotal">'CDS-J'!$E$46</definedName>
    <definedName name="BachelorsTransportation">'CDS-J'!$E$40</definedName>
    <definedName name="BaseYear">'XML Calculations'!$E$1</definedName>
    <definedName name="BoardOnlyFreshmen">'CDS-G'!$C$22</definedName>
    <definedName name="BoardOnlyStudents">'CDS-G'!$D$22</definedName>
    <definedName name="CDSConcerns">'CDS-A'!$B$23</definedName>
    <definedName name="CDSOnSite1">'CDS-A'!$E$18</definedName>
    <definedName name="CDSOnSite2">'CDS-A'!$F$18</definedName>
    <definedName name="CDSOnSiteLink">'CDS-A'!$B$20</definedName>
    <definedName name="City">'CDS-A'!$C$29</definedName>
    <definedName name="ClassRankPercentBottom25">'CDS-C'!$E$176</definedName>
    <definedName name="ClassRankPercentBottom50">'CDS-C'!$E$175</definedName>
    <definedName name="ClassRankPercentPercentSubmitted">'CDS-C'!$F$177</definedName>
    <definedName name="ClassRankPercentTop10">'CDS-C'!$E$172</definedName>
    <definedName name="ClassRankPercentTop25">'CDS-C'!$E$173</definedName>
    <definedName name="ClassRankPercentTop50">'CDS-C'!$E$174</definedName>
    <definedName name="ClassSizeSectionSize10_19">'CDS-I'!$E$50</definedName>
    <definedName name="ClassSizeSectionSize100Plus">'CDS-I'!$J$50</definedName>
    <definedName name="ClassSizeSectionSize2_9">'CDS-I'!$D$50</definedName>
    <definedName name="ClassSizeSectionSize20_29">'CDS-I'!$F$50</definedName>
    <definedName name="ClassSizeSectionSize30_39">'CDS-I'!$G$50</definedName>
    <definedName name="ClassSizeSectionSize40_49">'CDS-I'!$H$50</definedName>
    <definedName name="ClassSizeSectionSize50_99">'CDS-I'!$I$50</definedName>
    <definedName name="ClassSizeSectionSizeTotal">'CDS-I'!$K$50</definedName>
    <definedName name="ClassSizeSubsectionSize10_19">'CDS-I'!$E$53</definedName>
    <definedName name="ClassSizeSubsectionSize100Plus">'CDS-I'!$J$53</definedName>
    <definedName name="ClassSizeSubsectionSize2_9">'CDS-I'!$D$53</definedName>
    <definedName name="ClassSizeSubsectionSize20_29">'CDS-I'!$F$53</definedName>
    <definedName name="ClassSizeSubsectionSize30_39">'CDS-I'!$G$53</definedName>
    <definedName name="ClassSizeSubsectionSize40_49">'CDS-I'!$H$53</definedName>
    <definedName name="ClassSizeSubsectionSize50_59">'CDS-I'!$I$53</definedName>
    <definedName name="ClassSizeSubsectionSizeTotal">'CDS-I'!$K$53</definedName>
    <definedName name="CoedStatus1">'CDS-A'!$C$60</definedName>
    <definedName name="CoedStatus2">'CDS-A'!$C$61</definedName>
    <definedName name="CoedStatus3">'CDS-A'!$C$62</definedName>
    <definedName name="CollegeName">'CDS-A'!$C$26</definedName>
    <definedName name="CollegePrepNotRequiredNorRecommended">'CDS-C'!$D$39</definedName>
    <definedName name="CollegePrepRecommended">'CDS-C'!$D$38</definedName>
    <definedName name="CollegePrepRequired">'CDS-C'!$D$37</definedName>
    <definedName name="ComprehensiveTuitionAndRoomAndBoard">'CDS-G'!$D$24</definedName>
    <definedName name="ContactAddress">'CDS-A'!$D$8</definedName>
    <definedName name="ContactAddress1">'CDS-A'!$D$8</definedName>
    <definedName name="ContactAddress2">'CDS-A'!$D$9</definedName>
    <definedName name="ContactCity">'CDS-A'!$D$10</definedName>
    <definedName name="ContactCountry">'CDS-A'!$D$13</definedName>
    <definedName name="ContactEmail">'CDS-A'!$D$16</definedName>
    <definedName name="ContactFax">'CDS-A'!$D$15</definedName>
    <definedName name="ContactName">'CDS-A'!$D$5</definedName>
    <definedName name="ContactOffice">'CDS-A'!$D$7</definedName>
    <definedName name="ContactPhone">'CDS-A'!$D$14</definedName>
    <definedName name="ContactState">'CDS-A'!$D$11</definedName>
    <definedName name="ContactTitle">'CDS-A'!$D$6</definedName>
    <definedName name="ContactZip">'CDS-A'!$D$12</definedName>
    <definedName name="CostOfAttendanceAvailableDate">'CDS-G'!$B$7</definedName>
    <definedName name="CostOfAttendanceNotAvailable">'CDS-G'!$A$6</definedName>
    <definedName name="CostOfAttendanceOther">'CDS-G'!$B$27</definedName>
    <definedName name="Country">'CDS-A'!$C$32</definedName>
    <definedName name="CreditsForFullTuitionMaximum">'CDS-G'!$E$30</definedName>
    <definedName name="CreditsForFullTuitionMinimum">'CDS-G'!$D$30</definedName>
    <definedName name="DeadlineFilingDate">'CDS-H'!$E$101</definedName>
    <definedName name="DegreesAwardedAssociates">'CDS-B'!$C$41</definedName>
    <definedName name="DegreesAwardedBachelors">'CDS-B'!$C$42</definedName>
    <definedName name="DegreesAwardedCertificateDiploma">'CDS-B'!$C$40</definedName>
    <definedName name="DegreesAwardedDoctoral">'CDS-B'!$C$46</definedName>
    <definedName name="DegreesAwardedFirstProfessionalCertificates">'CDS-B'!$C$48</definedName>
    <definedName name="DegreesAwardedFirstProfessionalDegrees">'CDS-B'!$C$47</definedName>
    <definedName name="DegreesAwardedMasters">'CDS-B'!$C$44</definedName>
    <definedName name="DegreesAwardedPostBachelorsCertificates">'CDS-B'!$C$43</definedName>
    <definedName name="DegreesAwardedPostMasters">'CDS-B'!$C$45</definedName>
    <definedName name="DegreesOfferedAssociates">'CDS-A'!$C$78</definedName>
    <definedName name="DegreesOfferedBachelors">'CDS-A'!$C$81</definedName>
    <definedName name="DegreesOfferedCertificate">'CDS-A'!$C$76</definedName>
    <definedName name="DegreesOfferedDiploma">'CDS-A'!$C$77</definedName>
    <definedName name="DegreesOfferedDoctoral">'CDS-A'!$C$85</definedName>
    <definedName name="DegreesOfferedFirstProfessional">'CDS-A'!$C$86</definedName>
    <definedName name="DegreesOfferedFirstProfessionalCertificate">'CDS-A'!$C$87</definedName>
    <definedName name="DegreesOfferedMasters">'CDS-A'!$C$83</definedName>
    <definedName name="DegreesOfferedPostbachelorCertificate">'CDS-A'!$C$82</definedName>
    <definedName name="DegreesOfferedPostMastersCertificate">'CDS-A'!$C$84</definedName>
    <definedName name="DegreesOfferedTerminalAssociates">'CDS-A'!$C$80</definedName>
    <definedName name="DegreesOfferedTransferAssociates">'CDS-A'!$C$79</definedName>
    <definedName name="DiplomaAgriculture">'CDS-J'!$C$7</definedName>
    <definedName name="DiplomaArchitecture">'CDS-J'!$C$9</definedName>
    <definedName name="DiplomaArts">'CDS-J'!$C$41</definedName>
    <definedName name="DiplomaBiology">'CDS-J'!$C$24</definedName>
    <definedName name="DiplomaBusiness">'CDS-J'!$C$43</definedName>
    <definedName name="DiplomaCommunication">'CDS-J'!$C$12</definedName>
    <definedName name="DiplomaComputerScience">'CDS-J'!$C$13</definedName>
    <definedName name="DiplomaConstruction">'CDS-J'!$C$37</definedName>
    <definedName name="DiplomaConsumerSciences">'CDS-J'!$C$19</definedName>
    <definedName name="DiplomaCulinary">'CDS-J'!$C$14</definedName>
    <definedName name="DiplomaEducation">'CDS-J'!$C$15</definedName>
    <definedName name="DiplomaEngineering">'CDS-J'!$C$16</definedName>
    <definedName name="DiplomaEngineeringTechnology">'CDS-J'!$C$17</definedName>
    <definedName name="DiplomaEnglish">'CDS-J'!$C$21</definedName>
    <definedName name="DiplomaEnvironment">'CDS-J'!$C$8</definedName>
    <definedName name="DiplomaEthnicStudies">'CDS-J'!$C$10</definedName>
    <definedName name="DiplomaForeignLanguage">'CDS-J'!$C$18</definedName>
    <definedName name="DiplomaHealth">'CDS-J'!$C$42</definedName>
    <definedName name="DiplomaHistory">'CDS-J'!$C$44</definedName>
    <definedName name="DiplomaInterdisciplinary">'CDS-J'!$C$27</definedName>
    <definedName name="DiplomaJournalism">'CDS-J'!$C$11</definedName>
    <definedName name="DiplomaLaw">'CDS-J'!$C$20</definedName>
    <definedName name="DiplomaLiberalArts">'CDS-J'!$C$22</definedName>
    <definedName name="DiplomaLibrary">'CDS-J'!$C$23</definedName>
    <definedName name="DiplomaMathematics">'CDS-J'!$C$25</definedName>
    <definedName name="DiplomaMechanicTechnology">'CDS-J'!$C$38</definedName>
    <definedName name="DiplomaMilitary">'CDS-J'!$C$26</definedName>
    <definedName name="DiplomaOther">'CDS-J'!$C$45</definedName>
    <definedName name="DiplomaParks">'CDS-J'!$C$28</definedName>
    <definedName name="DiplomaPhilosophy">'CDS-J'!$C$29</definedName>
    <definedName name="DiplomaPhysicalSciences">'CDS-J'!$C$31</definedName>
    <definedName name="DiplomaPrecisionProduction">'CDS-J'!$C$39</definedName>
    <definedName name="DiplomaPsychology">'CDS-J'!$C$33</definedName>
    <definedName name="DiplomaPublicAdministration">'CDS-J'!$C$35</definedName>
    <definedName name="DiplomaScienceTech">'CDS-J'!$C$32</definedName>
    <definedName name="DiplomaSecurity">'CDS-J'!$C$34</definedName>
    <definedName name="DiplomaSocialSciences">'CDS-J'!$C$36</definedName>
    <definedName name="DiplomaTheology">'CDS-J'!$C$30</definedName>
    <definedName name="DiplomaTotal">'CDS-J'!$C$46</definedName>
    <definedName name="DiplomaTransportation">'CDS-J'!$C$40</definedName>
    <definedName name="EarlyAction1">'CDS-C'!$E$265</definedName>
    <definedName name="EarlyAction2">'CDS-C'!$F$265</definedName>
    <definedName name="EarlyActionClosingDate">'CDS-C'!$E$267</definedName>
    <definedName name="EarlyActionNotificationDate">'CDS-C'!$E$268</definedName>
    <definedName name="EarlyActionRestrictive1">'CDS-C'!$B$272</definedName>
    <definedName name="EarlyActionRestrictive2">'CDS-C'!$C$272</definedName>
    <definedName name="EarlyAdmissionOfHighSchoolStudents1">'CDS-C'!$E$244</definedName>
    <definedName name="EarlyAdmissionOfHighSchoolStudents2">'CDS-C'!$F$244</definedName>
    <definedName name="EarlyDecision1">'CDS-C'!$E$251</definedName>
    <definedName name="EarlyDecision2">'CDS-C'!$F$251</definedName>
    <definedName name="EarlyDecisionPolicyDetails">'CDS-C'!$B$261</definedName>
    <definedName name="EarlyDesicionApplicantsAdmitted">'CDS-C'!$E$259</definedName>
    <definedName name="EarlyDesicionApplicationsReceived">'CDS-C'!$E$258</definedName>
    <definedName name="EarlyDesicionFirstClosingDate">'CDS-C'!$E$253</definedName>
    <definedName name="EarlyDesicionFirstNotificationDate">'CDS-C'!$E$254</definedName>
    <definedName name="EarlyDesicionOtherClosingDate">'CDS-C'!$E$255</definedName>
    <definedName name="EarlyDesicionOtherNotificationDate">'CDS-C'!$E$256</definedName>
    <definedName name="ExpensesBoardHomeCommuters">'CDS-G'!$D$42</definedName>
    <definedName name="ExpensesBoardNonHomeCommuters">'CDS-G'!$E$42</definedName>
    <definedName name="ExpensesBooksHomeCommuters">'CDS-G'!$D$40</definedName>
    <definedName name="ExpensesBooksNonHomeCommuters">'CDS-G'!$E$40</definedName>
    <definedName name="ExpensesBooksResidents">'CDS-G'!$C$40</definedName>
    <definedName name="ExpensesOtherHomeCommuters">'CDS-G'!$D$45</definedName>
    <definedName name="ExpensesOtherNonHomeCommuters">'CDS-G'!$E$45</definedName>
    <definedName name="ExpensesOtherResidents">'CDS-G'!$C$45</definedName>
    <definedName name="ExpensesRoomAndBoardNonHomeCommuters">'CDS-G'!$E$43</definedName>
    <definedName name="ExpensesRoomNonHomeCommuters">'CDS-G'!$E$41</definedName>
    <definedName name="ExpensesTransportationHomeCommuters">'CDS-G'!$D$44</definedName>
    <definedName name="ExpensesTransportationNonHomeCommuters">'CDS-G'!$E$44</definedName>
    <definedName name="ExpensesTransportationResidents">'CDS-G'!$C$44</definedName>
    <definedName name="FacultyDegreeBachelorsFullTime">'CDS-I'!$I$31</definedName>
    <definedName name="FacultyDegreeBachelorsPartTime">'CDS-I'!$J$31</definedName>
    <definedName name="FacultyDegreeBachelorsTotal">'CDS-I'!$K$31</definedName>
    <definedName name="FacultyDegreeDoctorateOrProfessionalFullTime">'CDS-I'!$I$29</definedName>
    <definedName name="FacultyDegreeDoctorateOrProfessionalPartTime">'CDS-I'!$J$29</definedName>
    <definedName name="FacultyDegreeDoctorateOrProfessionalTotal">'CDS-I'!$K$29</definedName>
    <definedName name="FacultyDegreeMastersFullTime">'CDS-I'!$I$30</definedName>
    <definedName name="FacultyDegreeMastersPartTime">'CDS-I'!$J$30</definedName>
    <definedName name="FacultyDegreeMastersTotal">'CDS-I'!$K$30</definedName>
    <definedName name="FacultyDegreeOtherFullTime">'CDS-I'!$I$32</definedName>
    <definedName name="FacultyDegreeOtherPartTime">'CDS-I'!$J$32</definedName>
    <definedName name="FacultyDegreeOtherTotal">'CDS-I'!$K$32</definedName>
    <definedName name="FacultyFemaleFullTime">'CDS-I'!$I$26</definedName>
    <definedName name="FacultyFemalePartTime">'CDS-I'!$J$26</definedName>
    <definedName name="FacultyFemaleTotal">'CDS-I'!$K$26</definedName>
    <definedName name="FacultyMaleFullTime">'CDS-I'!$I$27</definedName>
    <definedName name="FacultyMalePartTime">'CDS-I'!$J$27</definedName>
    <definedName name="FacultyMaleTotal">'CDS-I'!$K$27</definedName>
    <definedName name="FacultyMinorityFullTime">'CDS-I'!$I$25</definedName>
    <definedName name="FacultyMinorityPartTime">'CDS-I'!$J$25</definedName>
    <definedName name="FacultyMinorityTotal">'CDS-I'!$K$25</definedName>
    <definedName name="FacultyNonresidentAliensFullTime">'CDS-I'!$I$28</definedName>
    <definedName name="FacultyNonresidentAliensPartTime">'CDS-I'!$J$28</definedName>
    <definedName name="FacultyNonresidentAliensTotal">'CDS-I'!$K$28</definedName>
    <definedName name="FacultyOnlyGraduateCoursesFullTime">'CDS-I'!$I$33</definedName>
    <definedName name="FacultyOnlyGraduateCoursesPartTime">'CDS-I'!$J$33</definedName>
    <definedName name="FacultyOnlyGraduateCoursesTotal">'CDS-I'!$K$33</definedName>
    <definedName name="FacultyTotal">'CDS-I'!$K$24</definedName>
    <definedName name="FacultyTotalFullTime">'CDS-I'!$I$24</definedName>
    <definedName name="FacultyTotalPartTime">'CDS-I'!$J$24</definedName>
    <definedName name="FinancialAidNeedBasedGrants">'CDS-H'!$E$69</definedName>
    <definedName name="FinancialAidNoGrants">'CDS-H'!$E$71</definedName>
    <definedName name="FinancialAidNonNeedBasedGrants">'CDS-H'!$E$70</definedName>
    <definedName name="FinancialAidNotificationRegularDate">'CDS-H'!$E$105</definedName>
    <definedName name="FinancialAidNotificationRollingStartDate">'CDS-H'!$D$108</definedName>
    <definedName name="FinancialAidStudentReplyByDate">'CDS-H'!$D$111</definedName>
    <definedName name="FinancialAidStudentReplyByPeriodWeeks">'CDS-H'!$D$112</definedName>
    <definedName name="FirstProfessionalFirstTimeFullTimeFemale">'CDS-B'!$D$15</definedName>
    <definedName name="FirstProfessionalFirstTimeFullTimeMale">'CDS-B'!$C$15</definedName>
    <definedName name="FirstProfessionalFirstTimePartTimeFemale">'CDS-B'!$F$15</definedName>
    <definedName name="FirstProfessionalFirstTimePartTimeMale">'CDS-B'!$E$15</definedName>
    <definedName name="FirstProfessionalOtherFullTimeFemale">'CDS-B'!$D$16</definedName>
    <definedName name="FirstProfessionalOtherFullTimeMale">'CDS-B'!$C$16</definedName>
    <definedName name="FirstProfessionalOtherPartTimeFemale">'CDS-B'!$F$16</definedName>
    <definedName name="FirstProfessionalOtherPartTimeMale">'CDS-B'!$E$16</definedName>
    <definedName name="FirstProfessionalTotalFullTimeFemale">'CDS-B'!$D$17</definedName>
    <definedName name="FirstProfessionalTotalFullTimeMale">'CDS-B'!$C$17</definedName>
    <definedName name="FirstProfessionalTotalPartTimeFemale">'CDS-B'!$F$17</definedName>
    <definedName name="FirstProfessionalTotalPartTimeMale">'CDS-B'!$E$17</definedName>
    <definedName name="FourYearCohortExclusions1">'CDS-B'!$F$60</definedName>
    <definedName name="FourYearCohortExclusions2">'CDS-B'!$F$71</definedName>
    <definedName name="FourYearCohortFinal1">'CDS-B'!$F$61</definedName>
    <definedName name="FourYearCohortFinal2">'CDS-B'!$F$72</definedName>
    <definedName name="FourYearCohortGraduatedIn4To5Years1">'CDS-B'!$F$63</definedName>
    <definedName name="FourYearCohortGraduatedIn4To5Years2">'CDS-B'!$F$74</definedName>
    <definedName name="FourYearCohortGraduatedIn4Years1">'CDS-B'!$F$62</definedName>
    <definedName name="FourYearCohortGraduatedIn4Years2">'CDS-B'!$F$73</definedName>
    <definedName name="FourYearCohortGraduatedIn5To6Years1">'CDS-B'!$F$64</definedName>
    <definedName name="FourYearCohortGraduatedIn5To6Years2">'CDS-B'!$F$75</definedName>
    <definedName name="FourYearCohortGraduatedIn6YearsTotal1">'CDS-B'!$F$65</definedName>
    <definedName name="FourYearCohortGraduatedIn6YearsTotal2">'CDS-B'!$F$76</definedName>
    <definedName name="FourYearCohortGraduationRate1">'CDS-B'!$F$66</definedName>
    <definedName name="FourYearCohortGraduationRate2">'CDS-B'!$F$77</definedName>
    <definedName name="FourYearCohortInitial1">'CDS-B'!$F$59</definedName>
    <definedName name="FourYearCohortInitial2">'CDS-B'!$F$70</definedName>
    <definedName name="FreshmanACTScoresByRangeComposite1_5">'CDS-C'!$C$169</definedName>
    <definedName name="FreshmanACTScoresByRangeComposite12_17">'CDS-C'!$C$167</definedName>
    <definedName name="FreshmanACTScoresByRangeComposite18_23">'CDS-C'!$C$166</definedName>
    <definedName name="FreshmanACTScoresByRangeComposite24_29">'CDS-C'!$C$165</definedName>
    <definedName name="FreshmanACTScoresByRangeComposite30_36">'CDS-C'!$C$164</definedName>
    <definedName name="FreshmanACTScoresByRangeComposite6_11">'CDS-C'!$C$168</definedName>
    <definedName name="FreshmanACTScoresByRangeCompositeTotal">'CDS-C'!$C$170</definedName>
    <definedName name="FreshmanACTScoresByRangeEnglish1_5">'CDS-C'!$D$169</definedName>
    <definedName name="FreshmanACTScoresByRangeEnglish12_17">'CDS-C'!$D$167</definedName>
    <definedName name="FreshmanACTScoresByRangeEnglish18_23">'CDS-C'!$D$166</definedName>
    <definedName name="FreshmanACTScoresByRangeEnglish24_29">'CDS-C'!$D$165</definedName>
    <definedName name="FreshmanACTScoresByRangeEnglish30_36">'CDS-C'!$D$164</definedName>
    <definedName name="FreshmanACTScoresByRangeEnglish6_11">'CDS-C'!$D$168</definedName>
    <definedName name="FreshmanACTScoresByRangeEnglishTotal">'CDS-C'!$D$170</definedName>
    <definedName name="FreshmanACTScoresByRangeMath1_5">'CDS-C'!$E$169</definedName>
    <definedName name="FreshmanACTScoresByRangeMath12_17">'CDS-C'!$E$167</definedName>
    <definedName name="FreshmanACTScoresByRangeMath18_23">'CDS-C'!$E$166</definedName>
    <definedName name="FreshmanACTScoresByRangeMath24_29">'CDS-C'!$E$165</definedName>
    <definedName name="FreshmanACTScoresByRangeMath30_36">'CDS-C'!$E$164</definedName>
    <definedName name="FreshmanACTScoresByRangeMath6_11">'CDS-C'!$E$168</definedName>
    <definedName name="FreshmanACTScoresByRangeMathTotal">'CDS-C'!$E$170</definedName>
    <definedName name="FreshmanAdmittedFemale">'CDS-C'!$E$10</definedName>
    <definedName name="FreshmanAdmittedMale">'CDS-C'!$E$9</definedName>
    <definedName name="FreshmanAppliedFemale">'CDS-C'!$E$7</definedName>
    <definedName name="FreshmanAppliedMale">'CDS-C'!$E$6</definedName>
    <definedName name="FreshmanEnrolledFullTimeFemale">'CDS-C'!$E$15</definedName>
    <definedName name="FreshmanEnrolledFullTimeMale">'CDS-C'!$E$12</definedName>
    <definedName name="FreshmanEnrolledPartTimeFemale">'CDS-C'!$E$16</definedName>
    <definedName name="FreshmanEnrolledPartTimeMale">'CDS-C'!$E$13</definedName>
    <definedName name="FreshmanFinancialAidFormBusinessSupplement">'CDS-H'!$E$95</definedName>
    <definedName name="FreshmanFinancialAidFormCSSPROFILE">'CDS-H'!$E$92</definedName>
    <definedName name="FreshmanFinancialAidFormFAFSA">'CDS-H'!$E$90</definedName>
    <definedName name="FreshmanFinancialAidFormInstitution">'CDS-H'!$E$91</definedName>
    <definedName name="FreshmanFinancialAidFormNoncustodialPROFILE">'CDS-H'!$E$94</definedName>
    <definedName name="FreshmanFinancialAidFormOther">'CDS-H'!$B$97</definedName>
    <definedName name="FreshmanFinancialAidFormState">'CDS-H'!$E$93</definedName>
    <definedName name="FreshmanFullTime">'CDS-H'!$D$34</definedName>
    <definedName name="FreshmanFullTimeAppliedForNeedBasedAid">'CDS-H'!$D$35</definedName>
    <definedName name="FreshmanFullTimeAverageFinancialAidPackage">'CDS-H'!$D$43</definedName>
    <definedName name="FreshmanFullTimeAverageNeedBasedGrant">'CDS-H'!$D$44</definedName>
    <definedName name="FreshmanFullTimeAverageNeedBasedLoan">'CDS-H'!$D$46</definedName>
    <definedName name="FreshmanFullTimeAverageNeedBasedSelfHelp">'CDS-H'!$D$45</definedName>
    <definedName name="FreshmanFullTimeAwardedAnyFinancialAid">'CDS-H'!$D$37</definedName>
    <definedName name="FreshmanFullTimeAwardedNeedBasedGrant">'CDS-H'!$D$38</definedName>
    <definedName name="FreshmanFullTimeAwardedNeedBasedSelfHelp">'CDS-H'!$D$39</definedName>
    <definedName name="FreshmanFullTimeAwardedNonNeedBasedGrant">'CDS-H'!$D$40</definedName>
    <definedName name="FreshmanFullTimeNeedFullyMet">'CDS-H'!$D$41</definedName>
    <definedName name="FreshmanFullTimeNoNeedAverageNonNeedBasedAthleticAwards">'CDS-H'!$D$53</definedName>
    <definedName name="FreshmanFullTimeNoNeedAverageNonNeedBasedGrantAward">'CDS-H'!$D$51</definedName>
    <definedName name="FreshmanFullTimeNoNeedAwardedAthleticScholarship">'CDS-H'!$D$52</definedName>
    <definedName name="FreshmanFullTimeNoNeedAwardedNonNeedBasedGrant">'CDS-H'!$D$50</definedName>
    <definedName name="FreshmanFullTimePercentOfNeedMet">'CDS-H'!$D$42</definedName>
    <definedName name="FreshmanFullTimeWithNeed">'CDS-H'!$D$36</definedName>
    <definedName name="FreshmanRetention">'CDS-B'!$F$109</definedName>
    <definedName name="FreshmanSATScoresByRangeCriticalReading200_299">'CDS-C'!$C$161</definedName>
    <definedName name="FreshmanSATScoresByRangeCriticalReading300_399">'CDS-C'!$C$160</definedName>
    <definedName name="FreshmanSATScoresByRangeCriticalReading400_499">'CDS-C'!$C$159</definedName>
    <definedName name="FreshmanSATScoresByRangeCriticalReading500_599">'CDS-C'!$C$158</definedName>
    <definedName name="FreshmanSATScoresByRangeCriticalReading600_699">'CDS-C'!$C$157</definedName>
    <definedName name="FreshmanSATScoresByRangeCriticalReading700_800">'CDS-C'!$C$156</definedName>
    <definedName name="FreshmanSATScoresByRangeCriticalReadingTotal">'CDS-C'!$C$162</definedName>
    <definedName name="FreshmanSATScoresByRangeMath200_299">'CDS-C'!$D$161</definedName>
    <definedName name="FreshmanSATScoresByRangeMath300_399">'CDS-C'!$D$160</definedName>
    <definedName name="FreshmanSATScoresByRangeMath400_499">'CDS-C'!$D$159</definedName>
    <definedName name="FreshmanSATScoresByRangeMath500_599">'CDS-C'!$D$158</definedName>
    <definedName name="FreshmanSATScoresByRangeMath600_699">'CDS-C'!$D$157</definedName>
    <definedName name="FreshmanSATScoresByRangeMath700_800">'CDS-C'!$D$156</definedName>
    <definedName name="FreshmanSATScoresByRangeMathTotal">'CDS-C'!$D$162</definedName>
    <definedName name="FreshmanSATScoresByRangeWriting200_299">'CDS-C'!$E$161</definedName>
    <definedName name="FreshmanSATScoresByRangeWriting300_399">'CDS-C'!$E$160</definedName>
    <definedName name="FreshmanSATScoresByRangeWriting400_499">'CDS-C'!$E$159</definedName>
    <definedName name="FreshmanSATScoresByRangeWriting500_599">'CDS-C'!$E$158</definedName>
    <definedName name="FreshmanSATScoresByRangeWriting600_699">'CDS-C'!$E$157</definedName>
    <definedName name="FreshmanSATScoresByRangeWriting700_800">'CDS-C'!$E$156</definedName>
    <definedName name="FreshmanSATScoresByRangeWritingTotal">'CDS-C'!$E$162</definedName>
    <definedName name="FreshmenAsian">'CDS-B'!$D$32</definedName>
    <definedName name="FreshmenBlack">'CDS-B'!$D$30</definedName>
    <definedName name="FreshmenHispanic">'CDS-B'!$D$33</definedName>
    <definedName name="FreshmenNativeAmerican">'CDS-B'!$D$31</definedName>
    <definedName name="FreshmenNonresidentAlien">'CDS-B'!$D$29</definedName>
    <definedName name="FreshmenRaceUnknown">'CDS-B'!$D$35</definedName>
    <definedName name="FreshmenTotal">'CDS-B'!$D$36</definedName>
    <definedName name="FreshmenWhite">'CDS-B'!$D$34</definedName>
    <definedName name="GeneralPhone">'CDS-A'!$C$39</definedName>
    <definedName name="GPAPercent0To0_99">'CDS-C'!$D$187</definedName>
    <definedName name="GPAPercent1To1_99">'CDS-C'!$D$186</definedName>
    <definedName name="GPAPercent2_5To2_99">'CDS-C'!$D$184</definedName>
    <definedName name="GPAPercent2To2_49">'CDS-C'!$D$185</definedName>
    <definedName name="GPAPercent3_25To3_49">'CDS-C'!$D$182</definedName>
    <definedName name="GPAPercent3_5To3_74">'CDS-C'!$D$181</definedName>
    <definedName name="GPAPercent3_75To4">'CDS-C'!$D$180</definedName>
    <definedName name="GPAPercent3To3_24">'CDS-C'!$D$183</definedName>
    <definedName name="GPAPercentTotal">'CDS-C'!$D$188</definedName>
    <definedName name="GradFirstTimeFullTimeFemale">'CDS-B'!$D$19</definedName>
    <definedName name="GradFirstTimeFullTimeMale">'CDS-B'!$C$19</definedName>
    <definedName name="GradFirstTimePartTimeFemale">'CDS-B'!$F$19</definedName>
    <definedName name="GradFirstTimePartTimeMale">'CDS-B'!$E$19</definedName>
    <definedName name="GradOtherFullTimeFemale">'CDS-B'!$D$20</definedName>
    <definedName name="GradOtherFullTimeMale">'CDS-B'!$C$20</definedName>
    <definedName name="GradOtherNoDegreeFullTimeFemale">'CDS-B'!$D$21</definedName>
    <definedName name="GradOtherNoDegreeFullTimeMale">'CDS-B'!$C$21</definedName>
    <definedName name="GradOtherNoDegreePartTimeFemale">'CDS-B'!$F$21</definedName>
    <definedName name="GradOtherNoDegreePartTimeMale">'CDS-B'!$E$21</definedName>
    <definedName name="GradOtherPartTimeFemale">'CDS-B'!$F$20</definedName>
    <definedName name="GradOtherPartTimeMale">'CDS-B'!$E$20</definedName>
    <definedName name="GradTotalFullTimeFemale">'CDS-B'!$D$22</definedName>
    <definedName name="GradTotalFullTimeMale">'CDS-B'!$C$22</definedName>
    <definedName name="GradTotalPartTimeFemale">'CDS-B'!$F$22</definedName>
    <definedName name="GradTotalPartTimeMale">'CDS-B'!$E$22</definedName>
    <definedName name="GradTotalStudents">'CDS-B'!$F$24</definedName>
    <definedName name="GrantsExternalNeed">'CDS-H'!$E$20</definedName>
    <definedName name="GrantsExternalNonNeed">'CDS-H'!$F$20</definedName>
    <definedName name="GrantsFederalNeed">'CDS-H'!$E$17</definedName>
    <definedName name="GrantsFederalNonNeed">'CDS-H'!$F$17</definedName>
    <definedName name="GrantsInstitutionalNeed">'CDS-H'!$E$19</definedName>
    <definedName name="GrantsInstitutionalNonNeed">'CDS-H'!$F$19</definedName>
    <definedName name="GrantsStateNeed">'CDS-H'!$E$18</definedName>
    <definedName name="GrantsStateNonNeed">'CDS-H'!$F$18</definedName>
    <definedName name="GrantsTotalNeed">'CDS-H'!$E$21</definedName>
    <definedName name="GrantsTotalNonNeed">'CDS-H'!$F$21</definedName>
    <definedName name="HighSchoolDiplomaNotGED">'CDS-C'!$D$33</definedName>
    <definedName name="HighSchoolDiplomaOrGED">'CDS-C'!$D$32</definedName>
    <definedName name="HighSchoolNotDiplomaNorGED">'CDS-C'!$D$34</definedName>
    <definedName name="HomePageURL">'CDS-A'!$C$40</definedName>
    <definedName name="HousingCoedDorms">'CDS-F'!$C$45</definedName>
    <definedName name="HousingCooperative">'CDS-F'!$C$53</definedName>
    <definedName name="HousingDepositAmount">'CDS-C'!$D$231</definedName>
    <definedName name="HousingDepositDeadlineDate">'CDS-C'!$D$230</definedName>
    <definedName name="HousingDepositRefundable1">'CDS-C'!$C$233</definedName>
    <definedName name="HousingDepositRefundable2">'CDS-C'!$C$234</definedName>
    <definedName name="HousingDepositRefundable3">'CDS-C'!$C$235</definedName>
    <definedName name="HousingForDisabledStudents">'CDS-F'!$C$50</definedName>
    <definedName name="HousingForInternationalStudents">'CDS-F'!$C$51</definedName>
    <definedName name="HousingGreekForGreekSystem">'CDS-F'!$C$52</definedName>
    <definedName name="HousingMarriedApartments">'CDS-F'!$C$48</definedName>
    <definedName name="HousingMensDorms">'CDS-F'!$C$46</definedName>
    <definedName name="HousingOtherOptions">'CDS-F'!$B$55</definedName>
    <definedName name="HousingSingleApartments">'CDS-F'!$C$49</definedName>
    <definedName name="HousingWomensDorms">'CDS-F'!$C$47</definedName>
    <definedName name="InstitutionalControl1">'CDS-A'!$C$55</definedName>
    <definedName name="InstitutionalControl2">'CDS-A'!$C$56</definedName>
    <definedName name="InstitutionalControl3">'CDS-A'!$C$57</definedName>
    <definedName name="InternationalFinancialAidFormCertificationOfFinances">'CDS-H'!$E$83</definedName>
    <definedName name="InternationalFinancialAidFormCSSPROFILE">'CDS-H'!$E$81</definedName>
    <definedName name="InternationalFinancialAidFormInstitutional">'CDS-H'!$E$80</definedName>
    <definedName name="InternationalFinancialAidFormInternationalApplication">'CDS-H'!$E$82</definedName>
    <definedName name="InternationalFinancialAidFormOther">'CDS-H'!$B$85</definedName>
    <definedName name="InternationalStudentsAwardedGrants">'CDS-H'!$F$73</definedName>
    <definedName name="InternationalStudentsGrantAverage">'CDS-H'!$F$75</definedName>
    <definedName name="InternationalStudentsGrantTotal">'CDS-H'!$F$77</definedName>
    <definedName name="MayPostponeEnrollment1">'CDS-C'!$E$239</definedName>
    <definedName name="MayPostponeEnrollment2">'CDS-C'!$F$239</definedName>
    <definedName name="NavalROTCOffCampus">'CDS-F'!$E$41</definedName>
    <definedName name="NavalROTCOffCampusInstitution">'CDS-F'!$F$41</definedName>
    <definedName name="NavalROTCOnCampus">'CDS-F'!$C$41</definedName>
    <definedName name="NeedsAnalysisMethodology1">'CDS-H'!$D$11</definedName>
    <definedName name="NeedsAnalysisMethodology2">'CDS-H'!$D$12</definedName>
    <definedName name="NeedsAnalysisMethodology3">'CDS-H'!$D$13</definedName>
    <definedName name="NoFilingDate">'CDS-H'!$E$102</definedName>
    <definedName name="OnlineApplicationFee1">'CDS-C'!$C$202</definedName>
    <definedName name="OnlineApplicationFee2">'CDS-C'!$C$203</definedName>
    <definedName name="OnlineApplicationFee3">'CDS-C'!$C$204</definedName>
    <definedName name="OnlineApplicationFeeWaiver1">'CDS-C'!$C$207</definedName>
    <definedName name="OnlineApplicationFeeWaiver2">'CDS-C'!$D$207</definedName>
    <definedName name="OnlineApplicationURL">'CDS-A'!$C$51</definedName>
    <definedName name="OpenAdmissions">'CDS-C'!$E$59</definedName>
    <definedName name="OpenButOtherSelection">'CDS-C'!$E$63</definedName>
    <definedName name="OpenButOtherSelectionCriteria">'CDS-C'!$B$64</definedName>
    <definedName name="OpenButSelectiveForOutOfState">'CDS-C'!$E$61</definedName>
    <definedName name="OpenButSelectiveForSomePrograms">'CDS-C'!$E$62</definedName>
    <definedName name="OtherFinancialAidAthleticNeed">'CDS-H'!$E$30</definedName>
    <definedName name="OtherFinancialAidAthleticNonNeed">'CDS-H'!$F$30</definedName>
    <definedName name="OtherFinancialAidParentLoansNeed">'CDS-H'!$E$28</definedName>
    <definedName name="OtherFinancialAidParentLoansNonNeed">'CDS-H'!$F$28</definedName>
    <definedName name="OtherFinancialAidTuitionWaversNeed">'CDS-H'!$E$29</definedName>
    <definedName name="OtherFinancialAidTuitionWaversNonNeed">'CDS-H'!$F$29</definedName>
    <definedName name="OtherUnits">'CDS-C'!$C$55</definedName>
    <definedName name="PercentFreshmenSubmittedGPA">'CDS-C'!$E$191</definedName>
    <definedName name="PercentOfFreshmen25OrOlder">'CDS-F'!$E$11</definedName>
    <definedName name="PercentOfFreshmenInCollegeHousing">'CDS-F'!$E$9</definedName>
    <definedName name="PercentOfFreshmenJoinFraternities">'CDS-F'!$E$7</definedName>
    <definedName name="PercentOfFreshmenJoinSororities">'CDS-F'!$E$8</definedName>
    <definedName name="PercentOfFreshmenOffCampus">'CDS-F'!$E$10</definedName>
    <definedName name="PercentOfFreshmenOutOfState">'CDS-F'!$E$6</definedName>
    <definedName name="PercentOfStudents25OrOlder">'CDS-F'!$F$11</definedName>
    <definedName name="PercentOfStudentsInCollegeHousing">'CDS-F'!$F$9</definedName>
    <definedName name="PercentOfStudentsJoinFraternities">'CDS-F'!$F$7</definedName>
    <definedName name="PercentOfStudentsJoinSororities">'CDS-F'!$F$8</definedName>
    <definedName name="PercentOfStudentsOffCampus">'CDS-F'!$F$10</definedName>
    <definedName name="PercentOfStudentsOutOfState">'CDS-F'!$F$6</definedName>
    <definedName name="PostponeEnrollmentMaxPeriod">'CDS-C'!$D$240</definedName>
    <definedName name="_xlnm.Print_Area" localSheetId="13">'CDS Definitions'!$A$1:$A$156</definedName>
    <definedName name="_xlnm.Print_Area" localSheetId="3">'CDS-A'!$A$2:$F$87</definedName>
    <definedName name="_xlnm.Print_Area" localSheetId="4">'CDS-B'!$A$1:$F$109</definedName>
    <definedName name="_xlnm.Print_Area" localSheetId="5">'CDS-C'!$A$1:$G$272</definedName>
    <definedName name="_xlnm.Print_Area" localSheetId="2">'CDS-CHANGES'!$A$1:$B$25</definedName>
    <definedName name="_xlnm.Print_Area" localSheetId="6">'CDS-D'!$A$1:$G$70</definedName>
    <definedName name="_xlnm.Print_Area" localSheetId="7">'CDS-E'!$A$1:$C$40</definedName>
    <definedName name="_xlnm.Print_Area" localSheetId="8">'CDS-F'!$A$1:$G$55</definedName>
    <definedName name="_xlnm.Print_Area" localSheetId="9">'CDS-G'!$A$1:$E$53</definedName>
    <definedName name="_xlnm.Print_Area" localSheetId="10">'CDS-H'!$A$1:$F$158</definedName>
    <definedName name="_xlnm.Print_Area" localSheetId="11">'CDS-I'!$A$1:$K$53</definedName>
    <definedName name="_xlnm.Print_Area" localSheetId="12">'CDS-J'!$A$1:$F$46</definedName>
    <definedName name="PriorityFilingDate">'CDS-H'!$E$100</definedName>
    <definedName name="RecommendedUnitsArts">'CDS-C'!$D$53</definedName>
    <definedName name="RecommendedUnitsComputerScience">'CDS-C'!$D$52</definedName>
    <definedName name="RecommendedUnitsElectives">'CDS-C'!$D$51</definedName>
    <definedName name="RecommendedUnitsEnglish">'CDS-C'!$D$44</definedName>
    <definedName name="RecommendedUnitsForeignLanguage">'CDS-C'!$D$48</definedName>
    <definedName name="RecommendedUnitsHistory">'CDS-C'!$D$50</definedName>
    <definedName name="RecommendedUnitsMath">'CDS-C'!$D$45</definedName>
    <definedName name="RecommendedUnitsOther">'CDS-C'!$D$54</definedName>
    <definedName name="RecommendedUnitsScience">'CDS-C'!$D$46</definedName>
    <definedName name="RecommendedUnitsScienceLab">'CDS-C'!$D$47</definedName>
    <definedName name="RecommendedUnitsSocialStudies">'CDS-C'!$D$49</definedName>
    <definedName name="RecommendedUnitsTotal">'CDS-C'!$D$43</definedName>
    <definedName name="RequiredCoursesArt">'CDS-E'!$C$27</definedName>
    <definedName name="RequiredCoursesComputer">'CDS-E'!$C$28</definedName>
    <definedName name="RequiredCoursesEnglish">'CDS-E'!$C$29</definedName>
    <definedName name="RequiredCoursesForeign">'CDS-E'!$C$30</definedName>
    <definedName name="RequiredCoursesHistory">'CDS-E'!$C$31</definedName>
    <definedName name="RequiredCoursesHumanities">'CDS-E'!$C$32</definedName>
    <definedName name="RequiredCoursesMathematics">'CDS-E'!$C$33</definedName>
    <definedName name="RequiredCoursesOther">'CDS-E'!$B$38</definedName>
    <definedName name="RequiredCoursesPhilosophy">'CDS-E'!$C$34</definedName>
    <definedName name="RequiredCoursesPhysicalScience">'CDS-E'!$C$35</definedName>
    <definedName name="RequiredCoursesSocialScience">'CDS-E'!$C$36</definedName>
    <definedName name="RequiredFeesFreshmen">'CDS-G'!$C$18</definedName>
    <definedName name="RequiredFeesStudents">'CDS-G'!$D$18</definedName>
    <definedName name="RequiredUnitsArts">'CDS-C'!$C$53</definedName>
    <definedName name="RequiredUnitsComputerScience">'CDS-C'!$C$52</definedName>
    <definedName name="RequiredUnitsElectives">'CDS-C'!$C$51</definedName>
    <definedName name="RequiredUnitsEnglish">'CDS-C'!$C$44</definedName>
    <definedName name="RequiredUnitsForeignLanguage">'CDS-C'!$C$48</definedName>
    <definedName name="RequiredUnitsHistory">'CDS-C'!$C$50</definedName>
    <definedName name="RequiredUnitsMath">'CDS-C'!$C$45</definedName>
    <definedName name="RequiredUnitsOther">'CDS-C'!$C$54</definedName>
    <definedName name="RequiredUnitsScience">'CDS-C'!$C$46</definedName>
    <definedName name="RequiredUnitsScienceLab">'CDS-C'!$C$47</definedName>
    <definedName name="RequiredUnitsSocialStudies">'CDS-C'!$C$49</definedName>
    <definedName name="RequiredUnitsTotal">'CDS-C'!$C$43</definedName>
    <definedName name="RollingNotification1">'CDS-H'!$D$107</definedName>
    <definedName name="RollingNotification2">'CDS-H'!$E$107</definedName>
    <definedName name="RoomAndBoardFreshmen">'CDS-G'!$C$20</definedName>
    <definedName name="RoomAndBoardStudents">'CDS-G'!$D$20</definedName>
    <definedName name="RoomOnlyFreshmen">'CDS-G'!$C$21</definedName>
    <definedName name="RoomOnlyStudents">'CDS-G'!$D$21</definedName>
    <definedName name="SATACTDeadline">'CDS-C'!$E$121</definedName>
    <definedName name="SATACTPolicyClarify">'CDS-C'!$B$125</definedName>
    <definedName name="SATACTTestPolicyACTOnly_1">'CDS-C'!$C$98</definedName>
    <definedName name="SATACTTestPolicyACTOnly_2">'CDS-C'!$D$98</definedName>
    <definedName name="SATACTTestPolicyACTOnly_3">'CDS-C'!$E$98</definedName>
    <definedName name="SATACTTestPolicyACTOnly_4">'CDS-C'!$F$98</definedName>
    <definedName name="SATACTTestPolicyACTOnly_5">'CDS-C'!$G$98</definedName>
    <definedName name="SATACTTestPolicySATOnly_1">'CDS-C'!$C$99</definedName>
    <definedName name="SATACTTestPolicySATOnly_2">'CDS-C'!$D$99</definedName>
    <definedName name="SATACTTestPolicySATOnly_3">'CDS-C'!$E$99</definedName>
    <definedName name="SATACTTestPolicySATOnly_4">'CDS-C'!$F$99</definedName>
    <definedName name="SATACTTestPolicySATOnly_5">'CDS-C'!$G$99</definedName>
    <definedName name="SATACTTestPolicySATOrACT_1">'CDS-C'!$C$97</definedName>
    <definedName name="SATACTTestPolicySATOrACT_2">'CDS-C'!$D$97</definedName>
    <definedName name="SATACTTestPolicySATOrACT_3">'CDS-C'!$E$97</definedName>
    <definedName name="SATACTTestPolicySATOrACT_4">'CDS-C'!$F$97</definedName>
    <definedName name="SATACTTestPolicySATOrACT_5">'CDS-C'!$G$97</definedName>
    <definedName name="SATACTTestPolicySATSubjectOnly_1">'CDS-C'!$C$101</definedName>
    <definedName name="SATACTTestPolicySATSubjectOnly_2">'CDS-C'!$D$101</definedName>
    <definedName name="SATACTTestPolicySATSubjectOnly_3">'CDS-C'!$E$101</definedName>
    <definedName name="SATACTTestPolicySATSubjectOnly_4">'CDS-C'!$F$101</definedName>
    <definedName name="SATACTTestPolicySATSubjectOnly_5">'CDS-C'!$G$101</definedName>
    <definedName name="SATACTTestPolicySATSubjectOrACT_1">'CDS-C'!$C$100</definedName>
    <definedName name="SATACTTestPolicySATSubjectOrACT_2">'CDS-C'!$D$100</definedName>
    <definedName name="SATACTTestPolicySATSubjectOrACT_3">'CDS-C'!$E$100</definedName>
    <definedName name="SATACTTestPolicySATSubjectOrACT_4">'CDS-C'!$F$100</definedName>
    <definedName name="SATACTTestPolicySATSubjectOrACT_5">'CDS-C'!$G$100</definedName>
    <definedName name="SATACTUsedForAcademicAdvising1">'CDS-C'!$C$119</definedName>
    <definedName name="SATACTUsedForAcademicAdvising2">'CDS-C'!$D$119</definedName>
    <definedName name="SATACTWritingComponentUseEssayNoPolicy">'CDS-C'!$E$114</definedName>
    <definedName name="SATACTWritingComponentUseEssayValidityCheck">'CDS-C'!$E$113</definedName>
    <definedName name="SATACTWritingComponentUseForAdmissions">'CDS-C'!$E$109</definedName>
    <definedName name="SATACTWritingComponentUseForAdvising">'CDS-C'!$E$111</definedName>
    <definedName name="SATACTWritingComponentUseForPlacement">'CDS-C'!$E$110</definedName>
    <definedName name="SATACTWritingComponentUseInPlaceOfEssay">'CDS-C'!$E$112</definedName>
    <definedName name="SATACTWritingComponentUseNone">'CDS-C'!$E$115</definedName>
    <definedName name="SATOrACT1">'CDS-C'!$E$93</definedName>
    <definedName name="SATOrACT2">'CDS-C'!$F$93</definedName>
    <definedName name="SATSubjectDeadline">'CDS-C'!$E$122</definedName>
    <definedName name="SATSubmissionNumber">'CDS-C'!$F$141</definedName>
    <definedName name="SATSubmissionPercent">'CDS-C'!$C$141</definedName>
    <definedName name="SelfHelpFederalWorkStudy">'CDS-H'!$E$24</definedName>
    <definedName name="SelfHelpOtherWorkStudyNeed">'CDS-H'!$E$25</definedName>
    <definedName name="SelfHelpOtherWorkStudyNonNeed">'CDS-H'!$F$25</definedName>
    <definedName name="SelfHelpStudentLoansNeed">'CDS-H'!$E$23</definedName>
    <definedName name="SelfHelpStudentLoansNonNeed">'CDS-H'!$F$23</definedName>
    <definedName name="SelfHelpTotalNeed">'CDS-H'!$E$26</definedName>
    <definedName name="SelfHelpTotalNonNeed">'CDS-H'!$F$26</definedName>
    <definedName name="SpecialStudyOptionsAcceleratedProgram">'CDS-E'!$C$4</definedName>
    <definedName name="SpecialStudyOptionsCrossRegistration">'CDS-E'!$C$6</definedName>
    <definedName name="SpecialStudyOptionsDistanceLearning">'CDS-E'!$C$7</definedName>
    <definedName name="SpecialStudyOptionsDomesticExchange">'CDS-E'!$C$11</definedName>
    <definedName name="SpecialStudyOptionsDoubleMajor">'CDS-E'!$C$8</definedName>
    <definedName name="SpecialStudyOptionsDualEnrollment">'CDS-E'!$C$9</definedName>
    <definedName name="SpecialStudyOptionsESL">'CDS-E'!$C$10</definedName>
    <definedName name="SpecialStudyOptionsExternalDegree">'CDS-E'!$C$12</definedName>
    <definedName name="SpecialStudyOptionsHonors">'CDS-E'!$C$13</definedName>
    <definedName name="SpecialStudyOptionsIndependent">'CDS-E'!$C$14</definedName>
    <definedName name="SpecialStudyOptionsInternships">'CDS-E'!$C$15</definedName>
    <definedName name="SpecialStudyOptionsLiberalArts">'CDS-E'!$C$16</definedName>
    <definedName name="SpecialStudyOptionsOther">'CDS-E'!$B$22</definedName>
    <definedName name="SpecialStudyOptionsStudentDesignedMajors">'CDS-E'!$C$17</definedName>
    <definedName name="SpecialStudyOptionsStudyAbroad">'CDS-E'!$C$18</definedName>
    <definedName name="SpecialStudyOptionsTeacherCertification">'CDS-E'!$C$19</definedName>
    <definedName name="SpecialStudyOptionsWeekendCollege">'CDS-E'!$C$20</definedName>
    <definedName name="SpecialStudyOptionsWorkStudy">'CDS-E'!$C$5</definedName>
    <definedName name="State">'CDS-A'!$C$30</definedName>
    <definedName name="StreetAddress1">'CDS-A'!$C$33</definedName>
    <definedName name="StreetAddress2">'CDS-A'!$C$34</definedName>
    <definedName name="StreetCity">'CDS-A'!$C$35</definedName>
    <definedName name="StreetCountry">'CDS-A'!$C$38</definedName>
    <definedName name="StreetState">'CDS-A'!$C$36</definedName>
    <definedName name="StreetZip">'CDS-A'!$C$37</definedName>
    <definedName name="StudentToFacultyRatio">'CDS-I'!$G$38</definedName>
    <definedName name="StudentToFacultyRatioTotalFaculty">'CDS-I'!$J$39</definedName>
    <definedName name="StudentToFacultyRatioTotalStudents">'CDS-I'!$J$38</definedName>
    <definedName name="TestForPlacementACT">'CDS-C'!$C$129</definedName>
    <definedName name="TestForPlacementAP">'CDS-C'!$C$131</definedName>
    <definedName name="TestForPlacementCLEP">'CDS-C'!$C$132</definedName>
    <definedName name="TestForPlacementInstitutional">'CDS-C'!$C$133</definedName>
    <definedName name="TestForPlacementSAT">'CDS-C'!$C$128</definedName>
    <definedName name="TestForPlacementSATSubject">'CDS-C'!$C$130</definedName>
    <definedName name="TestForPlacementState">'CDS-C'!$C$134</definedName>
    <definedName name="TestForPlacementStateExam">'CDS-C'!$B$135</definedName>
    <definedName name="TestScoresACTComposite25thPercentile">'CDS-C'!$C$149</definedName>
    <definedName name="TestScoresACTComposite75thPercentile">'CDS-C'!$D$149</definedName>
    <definedName name="TestScoresACTEnglish25thPercentile">'CDS-C'!$C$151</definedName>
    <definedName name="TestScoresACTEnglish75thPercentile">'CDS-C'!$D$151</definedName>
    <definedName name="TestScoresACTMath25thPercentile">'CDS-C'!$C$150</definedName>
    <definedName name="TestScoresACTMath75thPercentile">'CDS-C'!$D$150</definedName>
    <definedName name="TestScoresACTWriting25thPercentile">'CDS-C'!$C$152</definedName>
    <definedName name="TestScoresACTWriting75thPercentile">'CDS-C'!$D$152</definedName>
    <definedName name="TestScoresSATCriticalReading25thPercentile">'CDS-C'!$C$145</definedName>
    <definedName name="TestScoresSATCriticalReading75thPercentile">'CDS-C'!$D$145</definedName>
    <definedName name="TestScoresSATEssay25thPercentile">'CDS-C'!$C$148</definedName>
    <definedName name="TestScoresSATEssay75thPercentile">'CDS-C'!$D$148</definedName>
    <definedName name="TestScoresSATMath25thPercentile">'CDS-C'!$C$146</definedName>
    <definedName name="TestScoresSATMath75thPercentile">'CDS-C'!$D$146</definedName>
    <definedName name="TestScoresSATWriting25thPercentile">'CDS-C'!$C$147</definedName>
    <definedName name="TestScoresSATWriting75thPercentile">'CDS-C'!$D$147</definedName>
    <definedName name="TotalStudents">'CDS-B'!$F$25</definedName>
    <definedName name="TransferAdmissionsRequirementsOther">'CDS-D'!$B$54</definedName>
    <definedName name="TransferApplicantsAdmittedFemale">'CDS-D'!$D$12</definedName>
    <definedName name="TransferApplicantsAdmittedMale">'CDS-D'!$D$11</definedName>
    <definedName name="TransferApplicantsAdmittedTotal">'CDS-D'!$D$13</definedName>
    <definedName name="TransferApplicantsEnrolledFemale">'CDS-D'!$E$12</definedName>
    <definedName name="TransferApplicantsEnrolledMale">'CDS-D'!$E$11</definedName>
    <definedName name="TransferApplicantsEnrolledTotal">'CDS-D'!$E$13</definedName>
    <definedName name="TransferApplicantsFemale">'CDS-D'!$C$12</definedName>
    <definedName name="TransferApplicantsMale">'CDS-D'!$C$11</definedName>
    <definedName name="TransferApplicantsTotal">'CDS-D'!$C$13</definedName>
    <definedName name="TransferCredit1">'CDS-D'!$E$7</definedName>
    <definedName name="TransferCredit2">'CDS-D'!$F$7</definedName>
    <definedName name="TransferCreditPoliciesOther">'CDS-D'!$B$70</definedName>
    <definedName name="TransferCreditsMaxFrom2YearInstitution">'CDS-D'!$E$60</definedName>
    <definedName name="TransferCreditsMaxFrom2YearInstitutionUnit">'CDS-D'!$F$60</definedName>
    <definedName name="TransferCreditsMaxFrom4YearInstitution">'CDS-D'!$E$63</definedName>
    <definedName name="TransferCreditsMaxFrom4YearInstitutionUnit">'CDS-D'!$F$63</definedName>
    <definedName name="TransferCreditUnit">'CDS-D'!$F$25</definedName>
    <definedName name="TransferFallClosingDate">'CDS-D'!$D$45</definedName>
    <definedName name="TransferFallNotificationDate">'CDS-D'!$E$45</definedName>
    <definedName name="TransferFallPriorityDate">'CDS-D'!$C$45</definedName>
    <definedName name="TransferFallReplyDate">'CDS-D'!$F$45</definedName>
    <definedName name="TransferFallRollingAdmission">'CDS-D'!$G$45</definedName>
    <definedName name="TransferLowestAcceptedGrade">'CDS-D'!$E$57</definedName>
    <definedName name="TransferMinimumCollegeGPA">'CDS-D'!$E$38</definedName>
    <definedName name="TransferMinimumCredits1">'CDS-D'!$E$23</definedName>
    <definedName name="TransferMinimumCredits2">'CDS-D'!$F$23</definedName>
    <definedName name="TransferMinimumCreditsAssociates">'CDS-D'!$E$65</definedName>
    <definedName name="TransferMinimumCreditsBachelors">'CDS-D'!$E$67</definedName>
    <definedName name="TransferMinimumCreditsNeeded">'CDS-D'!$E$25</definedName>
    <definedName name="TransferMinimumHighSchoolGPA">'CDS-D'!$E$36</definedName>
    <definedName name="TransferOpenAdmissions1">'CDS-D'!$E$51</definedName>
    <definedName name="TransferOpenAdmissions2">'CDS-D'!$F$51</definedName>
    <definedName name="TransferRequirementsCollegeTranscript_1">'CDS-D'!$C$30</definedName>
    <definedName name="TransferRequirementsCollegeTranscript_2">'CDS-D'!$D$30</definedName>
    <definedName name="TransferRequirementsCollegeTranscript_3">'CDS-D'!$E$30</definedName>
    <definedName name="TransferRequirementsCollegeTranscript_4">'CDS-D'!$F$30</definedName>
    <definedName name="TransferRequirementsCollegeTranscript_5">'CDS-D'!$G$30</definedName>
    <definedName name="TransferRequirementsEssay_1">'CDS-D'!$C$31</definedName>
    <definedName name="TransferRequirementsEssay_2">'CDS-D'!$D$31</definedName>
    <definedName name="TransferRequirementsEssay_3">'CDS-D'!$E$31</definedName>
    <definedName name="TransferRequirementsEssay_4">'CDS-D'!$F$31</definedName>
    <definedName name="TransferRequirementsEssay_5">'CDS-D'!$G$31</definedName>
    <definedName name="TransferRequirementsHighSchoolTranscript_1">'CDS-D'!$C$29</definedName>
    <definedName name="TransferRequirementsHighSchoolTranscript_2">'CDS-D'!$D$29</definedName>
    <definedName name="TransferRequirementsHighSchoolTranscript_3">'CDS-D'!$E$29</definedName>
    <definedName name="TransferRequirementsHighSchoolTranscript_4">'CDS-D'!$F$29</definedName>
    <definedName name="TransferRequirementsHighSchoolTranscript_5">'CDS-D'!$G$29</definedName>
    <definedName name="TransferRequirementsInterview_1">'CDS-D'!$C$32</definedName>
    <definedName name="TransferRequirementsInterview_2">'CDS-D'!$D$32</definedName>
    <definedName name="TransferRequirementsInterview_3">'CDS-D'!$E$32</definedName>
    <definedName name="TransferRequirementsInterview_4">'CDS-D'!$F$32</definedName>
    <definedName name="TransferRequirementsInterview_5">'CDS-D'!$G$32</definedName>
    <definedName name="TransferRequirementsOther">'CDS-D'!$B$41</definedName>
    <definedName name="TransferRequirementsSAT_1">'CDS-D'!$C$33</definedName>
    <definedName name="TransferRequirementsSAT_2">'CDS-D'!$D$33</definedName>
    <definedName name="TransferRequirementsSAT_3">'CDS-D'!$E$33</definedName>
    <definedName name="TransferRequirementsSAT_4">'CDS-D'!$F$33</definedName>
    <definedName name="TransferRequirementsSAT_5">'CDS-D'!$G$33</definedName>
    <definedName name="TransferRequirementsStatementOfGoodStanding_1">'CDS-D'!$C$34</definedName>
    <definedName name="TransferRequirementsStatementOfGoodStanding_2">'CDS-D'!$D$34</definedName>
    <definedName name="TransferRequirementsStatementOfGoodStanding_3">'CDS-D'!$E$34</definedName>
    <definedName name="TransferRequirementsStatementOfGoodStanding_4">'CDS-D'!$F$34</definedName>
    <definedName name="TransferRequirementsStatementOfGoodStanding_5">'CDS-D'!$G$34</definedName>
    <definedName name="TransfersAccepted1">'CDS-D'!$E$6</definedName>
    <definedName name="TransfersAccepted2">'CDS-D'!$F$6</definedName>
    <definedName name="TransferSpringClosingDate">'CDS-D'!$D$47</definedName>
    <definedName name="TransferSpringNotificationDate">'CDS-D'!$E$47</definedName>
    <definedName name="TransferSpringPriorityDate">'CDS-D'!$C$47</definedName>
    <definedName name="TransferSpringReplyDate">'CDS-D'!$F$47</definedName>
    <definedName name="TransferSpringRollingAdmission">'CDS-D'!$G$47</definedName>
    <definedName name="TransferSummerClosingDate">'CDS-D'!$D$48</definedName>
    <definedName name="TransferSummerNotificationDate">'CDS-D'!$E$48</definedName>
    <definedName name="TransferSummerPriorityDate">'CDS-D'!$C$48</definedName>
    <definedName name="TransferSummerReplyDate">'CDS-D'!$F$48</definedName>
    <definedName name="TransferSummerRollingAdmission">'CDS-D'!$G$48</definedName>
    <definedName name="TransferTermFall">'CDS-D'!$C$17</definedName>
    <definedName name="TransferTermSpring">'CDS-D'!$C$19</definedName>
    <definedName name="TransferTermSummer">'CDS-D'!$C$20</definedName>
    <definedName name="TransferTermWinter">'CDS-D'!$C$18</definedName>
    <definedName name="TransferWinterClosingDate">'CDS-D'!$D$46</definedName>
    <definedName name="TransferWinterNotificationDate">'CDS-D'!$E$46</definedName>
    <definedName name="TransferWinterPriorityDate">'CDS-D'!$C$46</definedName>
    <definedName name="TransferWinterReplyDate">'CDS-D'!$F$46</definedName>
    <definedName name="TransferWinterRollingAdmission">'CDS-D'!$G$46</definedName>
    <definedName name="TuitionFreshmenInternational">'CDS-G'!$C$16</definedName>
    <definedName name="TuitionPerCreditInternational">'CDS-G'!$C$53</definedName>
    <definedName name="TuitionPerCreditPrivate">'CDS-G'!$C$49</definedName>
    <definedName name="TuitionPerCreditPublicInDistrict">'CDS-G'!$C$50</definedName>
    <definedName name="TuitionPerCreditPublicInState">'CDS-G'!$C$51</definedName>
    <definedName name="TuitionPerCreditPublicOutOfState">'CDS-G'!$C$52</definedName>
    <definedName name="TuitionPrivateFreshmen">'CDS-G'!$C$12</definedName>
    <definedName name="TuitionPrivateStudents">'CDS-G'!$D$12</definedName>
    <definedName name="TuitionPublicFreshmenInDistrict">'CDS-G'!$C$13</definedName>
    <definedName name="TuitionPublicFreshmenInState">'CDS-G'!$C$14</definedName>
    <definedName name="TuitionPublicFreshmenOutOfState">'CDS-G'!$C$15</definedName>
    <definedName name="TuitionPublicOutOfState">'CDS-G'!$D$15</definedName>
    <definedName name="TuitionPublicStudentsInDistrict">'CDS-G'!$D$13</definedName>
    <definedName name="TuitionPublicStudentsInState">'CDS-G'!$D$14</definedName>
    <definedName name="TuitionStudentsInternational">'CDS-G'!$D$16</definedName>
    <definedName name="TuitionVaryByProgramExplanation">'CDS-G'!$B$36</definedName>
    <definedName name="TuitionVaryByYear1">'CDS-G'!$D$33</definedName>
    <definedName name="TuitionVaryByYear2">'CDS-G'!$E$33</definedName>
    <definedName name="TwoYearCohortExclusions1">'CDS-B'!$F$85</definedName>
    <definedName name="TwoYearCohortExclusions2">'CDS-B'!$F$97</definedName>
    <definedName name="TwoYearCohortFinal1">'CDS-B'!$F$86</definedName>
    <definedName name="TwoYearCohortFinal2">'CDS-B'!$F$98</definedName>
    <definedName name="TwoYearCohortGraduated2To4Years1">'CDS-B'!$F$89</definedName>
    <definedName name="TwoYearCohortGraduated2To4Years150PercentTime1">'CDS-B'!$F$90</definedName>
    <definedName name="TwoYearCohortGraduated2To4Years150PercentTime2">'CDS-B'!$F$102</definedName>
    <definedName name="TwoYearCohortGraduated2To4Years2">'CDS-B'!$F$101</definedName>
    <definedName name="TwoYearCohortGraduatedUnder2Years1">'CDS-B'!$F$87</definedName>
    <definedName name="TwoYearCohortGraduatedUnder2Years150PercentTime1">'CDS-B'!$F$88</definedName>
    <definedName name="TwoYearCohortGraduatedUnder2Years150PercentTime2">'CDS-B'!$F$100</definedName>
    <definedName name="TwoYearCohortGraduatedUnder2Years2">'CDS-B'!$F$99</definedName>
    <definedName name="TwoYearCohortInitial1">'CDS-B'!$F$84</definedName>
    <definedName name="TwoYearCohortInitial2">'CDS-B'!$F$96</definedName>
    <definedName name="TwoYearCohortTransfers2YearInstitutions1">'CDS-B'!$F$92</definedName>
    <definedName name="TwoYearCohortTransfers2YearInstitutions2">'CDS-B'!$F$104</definedName>
    <definedName name="TwoYearCohortTransfers4YearInstitutions1">'CDS-B'!$F$93</definedName>
    <definedName name="TwoYearCohortTransfers4YearInstitutions2">'CDS-B'!$F$105</definedName>
    <definedName name="TwoYearCohortTransfersToOtherInstitutions1">'CDS-B'!$F$91</definedName>
    <definedName name="TwoYearCohortTransfersToOtherInstitutions2">'CDS-B'!$F$103</definedName>
    <definedName name="UndergradDegreeSeekingAsian">'CDS-B'!$E$32</definedName>
    <definedName name="UndergradDegreeSeekingBlack">'CDS-B'!$E$30</definedName>
    <definedName name="UndergradDegreeSeekingHispanic">'CDS-B'!$E$33</definedName>
    <definedName name="UndergradDegreeSeekingNativeAmerican">'CDS-B'!$E$31</definedName>
    <definedName name="UndergradDegreeSeekingNonresidentAlien">'CDS-B'!$E$29</definedName>
    <definedName name="UndergradDegreeSeekingRaceUnknown">'CDS-B'!$E$35</definedName>
    <definedName name="UndergradDegreeSeekingTotalFullTimeFemale">'CDS-B'!$D$11</definedName>
    <definedName name="UndergradDegreeSeekingTotalFullTimeMale">'CDS-B'!$C$11</definedName>
    <definedName name="UndergradDegreeSeekingTotalPartTimeFemale">'CDS-B'!$F$11</definedName>
    <definedName name="UndergradDegreeSeekingTotalPartTimeMale">'CDS-B'!$E$11</definedName>
    <definedName name="UndergradDegreeSeekingWhite">'CDS-B'!$E$34</definedName>
    <definedName name="UndergradFreshmenFullTimeFemale">'CDS-B'!$D$8</definedName>
    <definedName name="UndergradFreshmenFullTimeMale">'CDS-B'!$C$8</definedName>
    <definedName name="UndergradFreshmenPartTimeFemale">'CDS-B'!$F$8</definedName>
    <definedName name="UndergradFreshmenPartTimeMale">'CDS-B'!$E$8</definedName>
    <definedName name="UndergradFullTime">'CDS-H'!$E$34</definedName>
    <definedName name="UndergradFullTimeAppliedForNeedBasedAid">'CDS-H'!$E$35</definedName>
    <definedName name="UndergradFullTimeAverageFinancialAidPackage">'CDS-H'!$E$43</definedName>
    <definedName name="UndergradFullTimeAverageNeedBasedGrant">'CDS-H'!$E$44</definedName>
    <definedName name="UndergradFullTimeAverageNeedBasedLoan">'CDS-H'!$E$46</definedName>
    <definedName name="UndergradFullTimeAverageNeedBasedSelfHelp">'CDS-H'!$E$45</definedName>
    <definedName name="UndergradFullTimeAwardedAnyFinancialAid">'CDS-H'!$E$37</definedName>
    <definedName name="UndergradFullTimeAwardedNeedBasedGrant">'CDS-H'!$E$38</definedName>
    <definedName name="UndergradFullTimeAwardedNeedBasedSelfHelp">'CDS-H'!$E$39</definedName>
    <definedName name="UndergradFullTimeAwardedNonNeedBasedGrant">'CDS-H'!$E$40</definedName>
    <definedName name="UndergradFullTimeNeedFullyMet">'CDS-H'!$E$41</definedName>
    <definedName name="UndergradFullTimeNoNeedAverageNonNeedBasedAthleticAwards">'CDS-H'!$E$53</definedName>
    <definedName name="UndergradFullTimeNoNeedAverageNonNeedBasedGrantAward">'CDS-H'!$E$51</definedName>
    <definedName name="UndergradFullTimeNoNeedAwardedAthleticScholarship">'CDS-H'!$E$52</definedName>
    <definedName name="UndergradFullTimeNoNeedAwardedNonNeedBasedGrant">'CDS-H'!$E$50</definedName>
    <definedName name="UndergradFullTimePercentOfNeedMet">'CDS-H'!$E$42</definedName>
    <definedName name="UndergradFullTimeWithNeed">'CDS-H'!$E$36</definedName>
    <definedName name="UndergradOtherFullTimeFemale">'CDS-B'!$D$10</definedName>
    <definedName name="UndergradOtherFullTimeMale">'CDS-B'!$C$10</definedName>
    <definedName name="UndergradOtherNoDegreeFullTimeFemale">'CDS-B'!$D$12</definedName>
    <definedName name="UndergradOtherNoDegreeFullTimeMale">'CDS-B'!$C$12</definedName>
    <definedName name="UndergradOtherNoDegreePartTimeFemale">'CDS-B'!$F$12</definedName>
    <definedName name="UndergradOtherNoDegreePartTimeMale">'CDS-B'!$E$12</definedName>
    <definedName name="UndergradOtherPartTimeFemale">'CDS-B'!$F$10</definedName>
    <definedName name="UndergradOtherPartTimeMale">'CDS-B'!$E$10</definedName>
    <definedName name="UndergradPartTime">'CDS-H'!$F$34</definedName>
    <definedName name="UndergradPartTimeAppliedForNeedBasedAid">'CDS-H'!$F$35</definedName>
    <definedName name="UndergradPartTimeAverageFinancialAidPackage">'CDS-H'!$F$43</definedName>
    <definedName name="UndergradPartTimeAverageNeedBasedGrant">'CDS-H'!$F$44</definedName>
    <definedName name="UndergradPartTimeAverageNeedBasedLoan">'CDS-H'!$F$46</definedName>
    <definedName name="UndergradPartTimeAverageNeedBasedSelfHelp">'CDS-H'!$F$45</definedName>
    <definedName name="UndergradPartTimeAwardedAnyFinancialAid">'CDS-H'!$F$37</definedName>
    <definedName name="UndergradPartTimeAwardedNeedBasedGrant">'CDS-H'!$F$38</definedName>
    <definedName name="UndergradPartTimeAwardedNeedBasedSelfHelp">'CDS-H'!$F$39</definedName>
    <definedName name="UndergradPartTimeAwardedNonNeedBasedGrant">'CDS-H'!$F$40</definedName>
    <definedName name="UndergradPartTimeNeedFullyMet">'CDS-H'!$F$41</definedName>
    <definedName name="UndergradPartTimeNoNeedAverageNonNeedBasedAthleticAwards">'CDS-H'!$F$53</definedName>
    <definedName name="UndergradPartTimeNoNeedAverageNonNeedBasedGrantAward">'CDS-H'!$F$51</definedName>
    <definedName name="UndergradPartTimeNoNeedAwardedAthleticScholarship">'CDS-H'!$F$52</definedName>
    <definedName name="UndergradPartTimeNoNeedAwardedNonNeedBasedGrant">'CDS-H'!$F$50</definedName>
    <definedName name="UndergradPartTimePercentOfNeedMet">'CDS-H'!$F$42</definedName>
    <definedName name="UndergradPartTimeWithNeed">'CDS-H'!$F$36</definedName>
    <definedName name="UndergradRecentGraduatesFederalLoanAverage">'CDS-H'!$F$64</definedName>
    <definedName name="UndergradRecentGraduatesLoanAverage">'CDS-H'!$F$63</definedName>
    <definedName name="UndergradRecentGraduatesReceivedFederalLoanPercent">'CDS-H'!$F$62</definedName>
    <definedName name="UndergradRecentGraduatesReceivedLoanPercent">'CDS-H'!$F$61</definedName>
    <definedName name="UndergradTotalAsian">'CDS-B'!$F$32</definedName>
    <definedName name="UndergradTotalBlack">'CDS-B'!$F$30</definedName>
    <definedName name="UndergradTotalDegreeSeeking">'CDS-B'!$E$36</definedName>
    <definedName name="UndergradTotalFullTimeFemale">'CDS-B'!$D$13</definedName>
    <definedName name="UndergradTotalFullTimeMale">'CDS-B'!$C$13</definedName>
    <definedName name="UndergradTotalHispanic">'CDS-B'!$F$33</definedName>
    <definedName name="UndergradTotalNativeAmerican">'CDS-B'!$F$31</definedName>
    <definedName name="UndergradTotalNonresidentAlien">'CDS-B'!$F$29</definedName>
    <definedName name="UndergradTotalPartTimeFemale">'CDS-B'!$F$13</definedName>
    <definedName name="UndergradTotalPartTimeMale">'CDS-B'!$E$13</definedName>
    <definedName name="UndergradTotalRaceUnknown">'CDS-B'!$F$35</definedName>
    <definedName name="UndergradTotalStudents">'CDS-B'!$F$23</definedName>
    <definedName name="UndergradTotalStudents2">'CDS-B'!$F$36</definedName>
    <definedName name="UndergradTotalWhite">'CDS-B'!$F$34</definedName>
    <definedName name="UndergradTransferFullTimeFemale">'CDS-B'!$D$9</definedName>
    <definedName name="UndergradTransferFullTimeMale">'CDS-B'!$C$9</definedName>
    <definedName name="UndergradTransferPartTimeFemale">'CDS-B'!$F$9</definedName>
    <definedName name="UndergradTransferPartTimeMale">'CDS-B'!$E$9</definedName>
    <definedName name="WaitListAdmitted">'CDS-C'!$E$24</definedName>
    <definedName name="WaitListPlacesAccepted">'CDS-C'!$E$23</definedName>
    <definedName name="WaitListPolicy1">'CDS-C'!$E$20</definedName>
    <definedName name="WaitListPolicy2">'CDS-C'!$F$20</definedName>
    <definedName name="WaitListQualifiedApplicants">'CDS-C'!$E$22</definedName>
    <definedName name="WaitListRanked1">'CDS-C'!$E$26</definedName>
    <definedName name="WaitListRanked2">'CDS-C'!$F$26</definedName>
    <definedName name="WaitListRanksReleasedToCounselors1">'CDS-C'!$E$28</definedName>
    <definedName name="WaitListRanksReleasedToCounselors2">'CDS-C'!$F$28</definedName>
    <definedName name="WaitListRanksReleasedToStudents1">'CDS-C'!$E$27</definedName>
    <definedName name="WaitListRanksReleasedToStudents2">'CDS-C'!$F$27</definedName>
    <definedName name="YearOfAid1">'CDS-H'!$E$8</definedName>
    <definedName name="YearOfAid2">'CDS-H'!$F$8</definedName>
    <definedName name="Zip">'CDS-A'!$C$31</definedName>
  </definedNames>
  <calcPr fullCalcOnLoad="1"/>
</workbook>
</file>

<file path=xl/sharedStrings.xml><?xml version="1.0" encoding="utf-8"?>
<sst xmlns="http://schemas.openxmlformats.org/spreadsheetml/2006/main" count="4593" uniqueCount="2022">
  <si>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</si>
  <si>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</si>
  <si>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t>&lt;GeneralInformation Section="A"&gt;</t>
  </si>
  <si>
    <t>Question</t>
  </si>
  <si>
    <t>CDATA</t>
  </si>
  <si>
    <t>FieldName</t>
  </si>
  <si>
    <t>Address2</t>
  </si>
  <si>
    <t>Address1</t>
  </si>
  <si>
    <t>StreetAddress1</t>
  </si>
  <si>
    <t>StreetAddress2</t>
  </si>
  <si>
    <t>FieldCalc</t>
  </si>
  <si>
    <t>AdmissionsAddress1</t>
  </si>
  <si>
    <t>AdmissionsAddress2</t>
  </si>
  <si>
    <t>DegreesOfferedCertificate</t>
  </si>
  <si>
    <t>DegreesOfferedDiploma</t>
  </si>
  <si>
    <t>DegreesOfferedAssociates</t>
  </si>
  <si>
    <t>DegreesOfferedTransferAssociates</t>
  </si>
  <si>
    <t>DegreesOfferedTerminalAssociates</t>
  </si>
  <si>
    <t>DegreesOfferedBachelors</t>
  </si>
  <si>
    <t>DegreesOfferedPostbachelorCertificate</t>
  </si>
  <si>
    <t>DegreesOfferedMasters</t>
  </si>
  <si>
    <t>DegreesOfferedPostMastersCertificate</t>
  </si>
  <si>
    <t>DegreesOfferedDoctoral</t>
  </si>
  <si>
    <t>DegreesOfferedFirstProfessional</t>
  </si>
  <si>
    <t>DegreesOfferedFirstProfessionalCertificate</t>
  </si>
  <si>
    <t>&lt;/GeneralInformation&gt;</t>
  </si>
  <si>
    <t>&lt;EnrollmentAndPersistence Section="B"&gt;</t>
  </si>
  <si>
    <t>&lt;/EnrollmentAndPersistence&gt;</t>
  </si>
  <si>
    <t>FourYearCohortYear</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</si>
  <si>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</si>
  <si>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</si>
  <si>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</si>
  <si>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</si>
  <si>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</si>
  <si>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</si>
  <si>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</si>
  <si>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</si>
  <si>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</si>
  <si>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</si>
  <si>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t>PUBLIC INSTITUTIONS 
    In-district:</t>
  </si>
  <si>
    <t>Federal Work-Study</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</si>
  <si>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</si>
  <si>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</si>
  <si>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</si>
  <si>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</si>
  <si>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</si>
  <si>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</si>
  <si>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</si>
  <si>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</si>
  <si>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SATACTWritingComponentUseForPlacement</t>
  </si>
  <si>
    <r>
      <t>College Toolkit (</t>
    </r>
    <r>
      <rPr>
        <u val="single"/>
        <sz val="10"/>
        <color indexed="12"/>
        <rFont val="Arial"/>
        <family val="2"/>
      </rPr>
      <t>http://www.CollegeToolkit.com</t>
    </r>
    <r>
      <rPr>
        <sz val="10"/>
        <rFont val="Arial"/>
        <family val="0"/>
      </rPr>
      <t>) has created a special version of the Common Data Set Excel spreadsheet. This spreadsheet will help schools generate an XML output of their CDS responses.
These efforts are part of an initiative by CollegeToolkit.com to help make dissemination of a school's CDS responses easier on both schools and organizations collecting the data. We hope this initiative reduces the time spent inputting answers and the errors resulting from multiple points of data entry.</t>
    </r>
  </si>
  <si>
    <r>
      <t xml:space="preserve">The intended goal of our efforts is to enable schools to submit an XML file to an organization collecting data or post an XML file on their website rather than completing numerous surveys that request the same data.
We have done our best to make this as easy for survey respondents as possible. We appreciate any feedback on our efforts. You can e-mail comments / suggestions / ideas to </t>
    </r>
    <r>
      <rPr>
        <u val="single"/>
        <sz val="10"/>
        <color indexed="12"/>
        <rFont val="Arial"/>
        <family val="2"/>
      </rPr>
      <t>cds@collegetoolkit.com</t>
    </r>
  </si>
  <si>
    <t>'XML Calculations' Tab</t>
  </si>
  <si>
    <t>Data Dictionary</t>
  </si>
  <si>
    <t>We have created a Data Dictionary file to help you map the fields from the XML output to their questions on the CDS survey. This file helps schools and other data collection organizations fully utilize the XML files. You can find the Data Dictionary file at the following link:</t>
  </si>
  <si>
    <r>
      <t xml:space="preserve">The </t>
    </r>
    <r>
      <rPr>
        <b/>
        <sz val="10"/>
        <rFont val="Arial"/>
        <family val="2"/>
      </rPr>
      <t>XML Calculatiorns</t>
    </r>
    <r>
      <rPr>
        <sz val="10"/>
        <rFont val="Arial"/>
        <family val="0"/>
      </rPr>
      <t xml:space="preserve"> tab processes your answers to help us create the </t>
    </r>
    <r>
      <rPr>
        <b/>
        <sz val="10"/>
        <rFont val="Arial"/>
        <family val="2"/>
      </rPr>
      <t>XMLFile</t>
    </r>
    <r>
      <rPr>
        <sz val="10"/>
        <rFont val="Arial"/>
        <family val="0"/>
      </rPr>
      <t xml:space="preserve"> output. Please do not edit this page as it may affect the output and cause errors in the XML.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</si>
  <si>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</si>
  <si>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 xml:space="preserve">Wait list: </t>
    </r>
    <r>
      <rPr>
        <sz val="10"/>
        <color indexed="8"/>
        <rFont val="Arial"/>
        <family val="2"/>
      </rPr>
      <t xml:space="preserve">List of students who meet the admission requirements but will only be offered a place in the class if space becomes available. </t>
    </r>
  </si>
  <si>
    <t>RequiredCoursesComputer</t>
  </si>
  <si>
    <t>RequiredCoursesEnglish</t>
  </si>
  <si>
    <t>RequiredCoursesForeign</t>
  </si>
  <si>
    <t>RequiredCoursesHistory</t>
  </si>
  <si>
    <t>RequiredCoursesHumanities</t>
  </si>
  <si>
    <t>RequiredCoursesMathematics</t>
  </si>
  <si>
    <t>RequiredCoursesPhilosophy</t>
  </si>
  <si>
    <t>RequiredCoursesPhysicalScience</t>
  </si>
  <si>
    <t>RequiredCoursesSocialScience</t>
  </si>
  <si>
    <t>RequiredCoursesOther</t>
  </si>
  <si>
    <t>CDS-F</t>
  </si>
  <si>
    <t>PercentOfFreshmenOutOfState</t>
  </si>
  <si>
    <t>PercentOfStudentsOutOfState</t>
  </si>
  <si>
    <t>PercentOfFreshmenJoinFraternities</t>
  </si>
  <si>
    <t>PercentOfStudentsJoinFraternities</t>
  </si>
  <si>
    <t>PercentOfFreshmenJoinSororities</t>
  </si>
  <si>
    <t>PercentOfStudentsJoinSororities</t>
  </si>
  <si>
    <t>PercentOfFreshmenInCollegeHousing</t>
  </si>
  <si>
    <t>PercentOfStudentsInCollegeHousing</t>
  </si>
  <si>
    <t>PercentOfFreshmenOffCampus</t>
  </si>
  <si>
    <t>PercentOfStudentsOffCampus</t>
  </si>
  <si>
    <t>PercentOfFreshmen25OrOlder</t>
  </si>
  <si>
    <t>PercentOfStudents25OrOlder</t>
  </si>
  <si>
    <t>AverageAgeFullTimeFreshmen</t>
  </si>
  <si>
    <t>AverageAgeFullTimeStudents</t>
  </si>
  <si>
    <t>AverageAgeAllFreshmen</t>
  </si>
  <si>
    <t>AverageAgeAllStudents</t>
  </si>
  <si>
    <t>ActivitiesOfferedChoir</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</si>
  <si>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</si>
  <si>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</si>
  <si>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</si>
  <si>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</si>
  <si>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</si>
  <si>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</si>
  <si>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</si>
  <si>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</si>
  <si>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</si>
  <si>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</si>
  <si>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</si>
  <si>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</si>
  <si>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</si>
  <si>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</si>
  <si>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</si>
  <si>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</si>
  <si>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</si>
  <si>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</si>
  <si>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</si>
  <si>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</si>
  <si>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</si>
  <si>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</si>
  <si>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</si>
  <si>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</si>
  <si>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</si>
  <si>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</si>
  <si>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</si>
  <si>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</si>
  <si>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</si>
  <si>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</si>
  <si>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</si>
  <si>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</si>
  <si>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</si>
  <si>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</si>
  <si>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</si>
  <si>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</si>
  <si>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</si>
  <si>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</si>
  <si>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</si>
  <si>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</si>
  <si>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</si>
  <si>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</si>
  <si>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</si>
  <si>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</si>
  <si>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</si>
  <si>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</si>
  <si>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</si>
  <si>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</si>
  <si>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</si>
  <si>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</si>
  <si>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</si>
  <si>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</si>
  <si>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</si>
  <si>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</si>
  <si>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</si>
  <si>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</si>
  <si>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t>CIP Category</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</si>
  <si>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</si>
  <si>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</si>
  <si>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</si>
  <si>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</si>
  <si>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</si>
  <si>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</si>
  <si>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</si>
  <si>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</si>
  <si>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</si>
  <si>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</si>
  <si>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</si>
  <si>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2007.</t>
  </si>
  <si>
    <t>The admission committee prefers a cumulative gpa of 3.5 or higher and considers other factors such as strength of curriculum.</t>
  </si>
  <si>
    <t>C</t>
  </si>
  <si>
    <t>The College of William and Mary in Virginia</t>
  </si>
  <si>
    <t>PO Box 8795</t>
  </si>
  <si>
    <t>757-221-4000</t>
  </si>
  <si>
    <t>http://www.wm.edu</t>
  </si>
  <si>
    <t>757-221-4223</t>
  </si>
  <si>
    <t>NA</t>
  </si>
  <si>
    <t>Office of Admissions, PO Box 8795</t>
  </si>
  <si>
    <t>757-221-1242</t>
  </si>
  <si>
    <t>http://www.wm.edu/admission/</t>
  </si>
  <si>
    <t>admiss@wm.edu</t>
  </si>
  <si>
    <t>1 year</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</si>
  <si>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</si>
  <si>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</si>
  <si>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</si>
  <si>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</si>
  <si>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</si>
  <si>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</si>
  <si>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</si>
  <si>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</si>
  <si>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</si>
  <si>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</si>
  <si>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</si>
  <si>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</si>
  <si>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TransferRequirementsCollegeTranscript</t>
  </si>
  <si>
    <t>TransferRequirementsHighSchoolTranscript</t>
  </si>
  <si>
    <t>TransferRequirementsEssay</t>
  </si>
  <si>
    <t>TransferRequirementsInterview</t>
  </si>
  <si>
    <t>TransferRequirementsSAT</t>
  </si>
  <si>
    <t>TransferRequirementsStatementOfGoodStanding</t>
  </si>
  <si>
    <t>TransferMinimumHighSchoolGPA</t>
  </si>
  <si>
    <t>TransferMinimumCollegeGPA</t>
  </si>
  <si>
    <t>TransferFallPriorityDate</t>
  </si>
  <si>
    <t>TransferFallClosingDate</t>
  </si>
  <si>
    <t>TransferFallNotificationDate</t>
  </si>
  <si>
    <t>TransferFallReplyDate</t>
  </si>
  <si>
    <t>TransferWinterPriorityDate</t>
  </si>
  <si>
    <t>TransferWinterClosingDate</t>
  </si>
  <si>
    <t>TransferWinterNotificationDate</t>
  </si>
  <si>
    <t>TransferWinterReplyDate</t>
  </si>
  <si>
    <t>TransferSpringPriorityDate</t>
  </si>
  <si>
    <t>TransferSpringClosingDate</t>
  </si>
  <si>
    <t>TransferSpringNotificationDate</t>
  </si>
  <si>
    <t>TransferSpringReplyDate</t>
  </si>
  <si>
    <t>TransferSummerPriorityDate</t>
  </si>
  <si>
    <t>TransferSummerClosingDate</t>
  </si>
  <si>
    <t>TransferSummerNotificationDate</t>
  </si>
  <si>
    <t>TransferSummerReplyDate</t>
  </si>
  <si>
    <t>TransferFallRollingAdmission</t>
  </si>
  <si>
    <t>TransferWinterRollingAdmission</t>
  </si>
  <si>
    <t>TransferSpringRollingAdmission</t>
  </si>
  <si>
    <t>TransferSummerRollingAdmission</t>
  </si>
  <si>
    <t>TransferRequirementsOther</t>
  </si>
  <si>
    <t>TransferOpenAdmissions</t>
  </si>
  <si>
    <t>TransferAdmissionsRequirementsOther</t>
  </si>
  <si>
    <t>TransferLowestAcceptedGrade</t>
  </si>
  <si>
    <t>TransferCreditsMaxFrom2YearInstitution</t>
  </si>
  <si>
    <t>TransferCreditsMaxFrom2YearInstitutionUnit</t>
  </si>
  <si>
    <t>TransferCreditsMaxFrom4YearInstitution</t>
  </si>
  <si>
    <t>TransferCreditsMaxFrom4YearInstitutionUnit</t>
  </si>
  <si>
    <t>TransferMinimumCreditsAssociates</t>
  </si>
  <si>
    <t>TransferMinimumCreditsBachelors</t>
  </si>
  <si>
    <t>TransferCreditPoliciesOther</t>
  </si>
  <si>
    <t>CDS-E</t>
  </si>
  <si>
    <t>FreshmanACTScoresByRangeEnglish6_11</t>
  </si>
  <si>
    <t>FreshmanACTScoresByRangeMath6_11</t>
  </si>
  <si>
    <t>FreshmanACTScoresByRangeComposite1_5</t>
  </si>
  <si>
    <t>FreshmanACTScoresByRangeEnglish1_5</t>
  </si>
  <si>
    <t>FreshmanACTScoresByRangeMath1_5</t>
  </si>
  <si>
    <t>FreshmanACTScoresByRangeCompositeTotal</t>
  </si>
  <si>
    <t>FreshmanACTScoresByRangeEnglishTotal</t>
  </si>
  <si>
    <t>FreshmanACTScoresByRangeMathTotal</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</si>
  <si>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</si>
  <si>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</si>
  <si>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SUMMARY OF SIGNIFICANT CHANGES TO THE CDS FOR 2007-08</t>
  </si>
  <si>
    <t>Added the following 2 choices</t>
  </si>
  <si>
    <t xml:space="preserve">Activities offered </t>
  </si>
  <si>
    <t>Added the following 3 categories</t>
  </si>
  <si>
    <t>Added field for room and board estimates for commuters combined (for colleges who can’t provide separate room and board estimates for commuters)</t>
  </si>
  <si>
    <r>
      <t>Distribution of high school units required and/or recommended</t>
    </r>
    <r>
      <rPr>
        <sz val="10"/>
        <color indexed="8"/>
        <rFont val="Times New Roman"/>
        <family val="1"/>
      </rPr>
      <t xml:space="preserve"> </t>
    </r>
  </si>
  <si>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</si>
  <si>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</si>
  <si>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</si>
  <si>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</si>
  <si>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</si>
  <si>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</si>
  <si>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t xml:space="preserve">Deadline for housing deposit (MM/DD): </t>
  </si>
  <si>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</si>
  <si>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</si>
  <si>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</si>
  <si>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</si>
  <si>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</si>
  <si>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</si>
  <si>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</si>
  <si>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</si>
  <si>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</si>
  <si>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</si>
  <si>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</si>
  <si>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</si>
  <si>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</si>
  <si>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</si>
  <si>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</si>
  <si>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</si>
  <si>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</si>
  <si>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</si>
  <si>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</si>
  <si>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</si>
  <si>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</si>
  <si>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</si>
  <si>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</si>
  <si>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</si>
  <si>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</si>
  <si>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</si>
  <si>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</si>
  <si>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</si>
  <si>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</si>
  <si>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</si>
  <si>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</si>
  <si>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</si>
  <si>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</si>
  <si>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</si>
  <si>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</si>
  <si>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</si>
  <si>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</si>
  <si>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</si>
  <si>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</si>
  <si>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</si>
  <si>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</si>
  <si>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</si>
  <si>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</si>
  <si>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UndergradDegreeSeekingTotalPartTimeFemale</t>
  </si>
  <si>
    <t>UndergradOtherNoDegreeFullTimeMale</t>
  </si>
  <si>
    <t>UndergradOtherNoDegreeFullTimeFemale</t>
  </si>
  <si>
    <t>UndergradOtherNoDegreePartTimeMale</t>
  </si>
  <si>
    <t>UndergradOtherNoDegreePartTimeFemale</t>
  </si>
  <si>
    <t>UndergradTotalFullTimeMale</t>
  </si>
  <si>
    <t>FreshmanRetention</t>
  </si>
  <si>
    <t>CDS-C</t>
  </si>
  <si>
    <t>FreshmanAppliedMale</t>
  </si>
  <si>
    <t>FreshmanAppliedFemale</t>
  </si>
  <si>
    <t>FreshmanAdmittedMale</t>
  </si>
  <si>
    <t>FreshmanAdmittedFemale</t>
  </si>
  <si>
    <t>FreshmanEnrolledFullTimeMale</t>
  </si>
  <si>
    <t>FreshmanEnrolledFullTimeFemale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</si>
  <si>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</si>
  <si>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</si>
  <si>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</si>
  <si>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</si>
  <si>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</si>
  <si>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</si>
  <si>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</si>
  <si>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</si>
  <si>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</si>
  <si>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</si>
  <si>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</si>
  <si>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</si>
  <si>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</si>
  <si>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</si>
  <si>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</si>
  <si>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</si>
  <si>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</si>
  <si>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</si>
  <si>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</si>
  <si>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</si>
  <si>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</si>
  <si>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</si>
  <si>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</si>
  <si>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</si>
  <si>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&lt;FinancialAid Section="H"&gt;</t>
  </si>
  <si>
    <t>&lt;/FinancialAid&gt;</t>
  </si>
  <si>
    <t>AidDataYear</t>
  </si>
  <si>
    <t>H4A</t>
  </si>
  <si>
    <t>H5A</t>
  </si>
  <si>
    <t>&lt;InstructionalFacultyAndClassSize Section="I"&gt;</t>
  </si>
  <si>
    <t>&lt;/InstructionalFacultyAndClassSize&gt;</t>
  </si>
  <si>
    <t>ClassSizeSectionSizeTotal</t>
  </si>
  <si>
    <t>ClassSizeSubsectionSizeTotal</t>
  </si>
  <si>
    <t>&lt;DegreesConferred Section="J"&gt;</t>
  </si>
  <si>
    <t>&lt;/DegreesConferred&gt;</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</si>
  <si>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</si>
  <si>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</si>
  <si>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FirstProfessionalFirstTimePartTimeFemale</t>
  </si>
  <si>
    <t>FirstProfessionalOtherFullTimeMale</t>
  </si>
  <si>
    <t>FirstProfessionalOtherFullTimeFemale</t>
  </si>
  <si>
    <t>FirstProfessionalOtherPartTimeMale</t>
  </si>
  <si>
    <t>FirstProfessionalOtherPartTimeFemale</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</si>
  <si>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</si>
  <si>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</si>
  <si>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</si>
  <si>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</si>
  <si>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</si>
  <si>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</si>
  <si>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</si>
  <si>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</si>
  <si>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</si>
  <si>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</si>
  <si>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</si>
  <si>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</si>
  <si>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</si>
  <si>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</si>
  <si>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</si>
  <si>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</si>
  <si>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</si>
  <si>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</si>
  <si>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</si>
  <si>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</si>
  <si>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</si>
  <si>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State:</t>
  </si>
  <si>
    <t>City:</t>
  </si>
  <si>
    <t>Zip:</t>
  </si>
  <si>
    <t>Country:</t>
  </si>
  <si>
    <t xml:space="preserve">     City:</t>
  </si>
  <si>
    <t xml:space="preserve">     State:</t>
  </si>
  <si>
    <t xml:space="preserve">     Zip:</t>
  </si>
  <si>
    <t xml:space="preserve">     Country:</t>
  </si>
  <si>
    <t>CDS-A</t>
  </si>
  <si>
    <t>ContactName</t>
  </si>
  <si>
    <t>CollegeName</t>
  </si>
  <si>
    <t>ContactTitle</t>
  </si>
  <si>
    <t>ContactOffice</t>
  </si>
  <si>
    <t>ContactCity</t>
  </si>
  <si>
    <t>ContactState</t>
  </si>
  <si>
    <t>ContactZip</t>
  </si>
  <si>
    <t>ContactCountry</t>
  </si>
  <si>
    <t>ContactPhone</t>
  </si>
  <si>
    <t>ContactFax</t>
  </si>
  <si>
    <t>ContactEmail</t>
  </si>
  <si>
    <t>CDSOnSite</t>
  </si>
  <si>
    <t>CDSOnSiteLink</t>
  </si>
  <si>
    <t>City</t>
  </si>
  <si>
    <t>State</t>
  </si>
  <si>
    <t>Zip</t>
  </si>
  <si>
    <t>Country</t>
  </si>
  <si>
    <t>StreetCity</t>
  </si>
  <si>
    <t>StreetState</t>
  </si>
  <si>
    <t>StreetZip</t>
  </si>
  <si>
    <t>StreetCountry</t>
  </si>
  <si>
    <t>UndergradDegreeSeekingAsian</t>
  </si>
  <si>
    <t>UndergradDegreeSeekingHispanic</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</si>
  <si>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</si>
  <si>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</si>
  <si>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</si>
  <si>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</si>
  <si>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</si>
  <si>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</si>
  <si>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</si>
  <si>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</si>
  <si>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</si>
  <si>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</si>
  <si>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</si>
  <si>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</si>
  <si>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</si>
  <si>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</si>
  <si>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</si>
  <si>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StudentToFacultyRatioTotalStudents</t>
  </si>
  <si>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</si>
  <si>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</si>
  <si>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</si>
  <si>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</si>
  <si>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</si>
  <si>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</si>
  <si>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</si>
  <si>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</si>
  <si>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</si>
  <si>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</si>
  <si>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</si>
  <si>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</si>
  <si>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</si>
  <si>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</si>
  <si>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</si>
  <si>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</si>
  <si>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</si>
  <si>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</si>
  <si>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</si>
  <si>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</si>
  <si>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</si>
  <si>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</si>
  <si>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</si>
  <si>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</si>
  <si>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</si>
  <si>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</si>
  <si>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</si>
  <si>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</si>
  <si>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</si>
  <si>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</si>
  <si>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</si>
  <si>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Percent who had GPA of 3.75 and higher</t>
  </si>
  <si>
    <t>Percent who had GPA between 3.50 and 3.74</t>
  </si>
  <si>
    <t>Percent who had GPA between 3.25 and 3.49</t>
  </si>
  <si>
    <t>Percent who had GPA between 3.00 and 3.24</t>
  </si>
  <si>
    <t>Percent who had GPA between 2.50 and 2.99</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</si>
  <si>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</si>
  <si>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</si>
  <si>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</si>
  <si>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AcceptanceOtherThanFall</t>
  </si>
  <si>
    <t>http://www.CollegeToolkit.com/CDS/DataDictionary0708.pdf</t>
  </si>
  <si>
    <t>ClassSizeSectionSize10_19</t>
  </si>
  <si>
    <t>ClassSizeSubsectionSize10_19</t>
  </si>
  <si>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</si>
  <si>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</si>
  <si>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</si>
  <si>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</si>
  <si>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</si>
  <si>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</si>
  <si>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AidCriteriaNonNeedBasedJobSkills</t>
  </si>
  <si>
    <t>AidCriteriaNeedBasedJobSkills</t>
  </si>
  <si>
    <t>AidCriteriaNonNeedBasedROTC</t>
  </si>
  <si>
    <t>AidCriteriaNonNeedBasedLeadership</t>
  </si>
  <si>
    <t>AidCriteriaNeedBasedLeadership</t>
  </si>
  <si>
    <t>AidCriteriaNonNeedBasedMinorityStatus</t>
  </si>
  <si>
    <t>AidCriteriaNeedBasedMinorityStatus</t>
  </si>
  <si>
    <t>AidCriteriaNonNeedBasedDrama</t>
  </si>
  <si>
    <t>AidCriteriaNeedBasedDrama</t>
  </si>
  <si>
    <t>AidCriteriaNonNeedBasedReligion</t>
  </si>
  <si>
    <t>AidCriteriaNeedBasedReligion</t>
  </si>
  <si>
    <t>AidCriteriaNonNeedBasedResidency</t>
  </si>
  <si>
    <t>AidCriteriaNeedBasedResidency</t>
  </si>
  <si>
    <t>CDS-I</t>
  </si>
  <si>
    <t>FacultyTotalFullTime</t>
  </si>
  <si>
    <t>FacultyTotal</t>
  </si>
  <si>
    <t>FacultyTotalPartTime</t>
  </si>
  <si>
    <t>FacultyMinorityFullTime</t>
  </si>
  <si>
    <t>FacultyMinorityPartTime</t>
  </si>
  <si>
    <t>FacultyMinorityTotal</t>
  </si>
  <si>
    <t>FacultyFemaleFullTime</t>
  </si>
  <si>
    <t>FacultyFemalePartTime</t>
  </si>
  <si>
    <t>FacultyFemaleTotal</t>
  </si>
  <si>
    <t>FacultyMaleFullTime</t>
  </si>
  <si>
    <t>FacultyMalePartTime</t>
  </si>
  <si>
    <t>FacultyMaleTotal</t>
  </si>
  <si>
    <t>FacultyNonresidentAliensFullTime</t>
  </si>
  <si>
    <t>FacultyNonresidentAliensPartTime</t>
  </si>
  <si>
    <t>FacultyNonresidentAliensTotal</t>
  </si>
  <si>
    <t>FacultyDegreeDoctorateOrProfessionalFullTime</t>
  </si>
  <si>
    <t>FacultyDegreeDoctorateOrProfessionalPartTime</t>
  </si>
  <si>
    <t>FacultyDegreeDoctorateOrProfessionalTotal</t>
  </si>
  <si>
    <t>FacultyDegreeMastersFullTime</t>
  </si>
  <si>
    <t>FacultyDegreeMastersPartTime</t>
  </si>
  <si>
    <t>FacultyDegreeMastersTotal</t>
  </si>
  <si>
    <t>FacultyDegreeBachelorsFullTime</t>
  </si>
  <si>
    <t>FacultyDegreeBachelorsPartTime</t>
  </si>
  <si>
    <t>FacultyDegreeBachelorsTotal</t>
  </si>
  <si>
    <t>FacultyDegreeOtherFullTime</t>
  </si>
  <si>
    <t>FacultyDegreeOtherPartTime</t>
  </si>
  <si>
    <t>FacultyDegreeOtherTotal</t>
  </si>
  <si>
    <t>FacultyOnlyGraduateCoursesFullTime</t>
  </si>
  <si>
    <t>FacultyOnlyGraduateCoursesPartTime</t>
  </si>
  <si>
    <t>FacultyOnlyGraduateCoursesTotal</t>
  </si>
  <si>
    <t>StudentToFacultyRatio</t>
  </si>
  <si>
    <t>ClassSizeSectionSize2_9</t>
  </si>
  <si>
    <t>ClassSizeSubsectionSize2_9</t>
  </si>
  <si>
    <t>UndergradFreshmenFullTimeFemale</t>
  </si>
  <si>
    <t>UndergradFreshmenPartTimeMale</t>
  </si>
  <si>
    <t>UndergradFreshmenPartTimeFemale</t>
  </si>
  <si>
    <t>UndergradTransferFullTimeMale</t>
  </si>
  <si>
    <t>UndergradTransferFullTimeFemale</t>
  </si>
  <si>
    <t>UndergradTransferPartTimeMale</t>
  </si>
  <si>
    <t>UndergradTransferPartTimeFemale</t>
  </si>
  <si>
    <t>UndergradOtherFullTimeMale</t>
  </si>
  <si>
    <t>UndergradOtherFullTimeFemale</t>
  </si>
  <si>
    <t>UndergradOtherPartTimeMale</t>
  </si>
  <si>
    <t>UndergradOtherPartTimeFemale</t>
  </si>
  <si>
    <t>UndergradDegreeSeekingTotalFullTimeMale</t>
  </si>
  <si>
    <t>UndergradDegreeSeekingTotalFullTimeFemale</t>
  </si>
  <si>
    <t>UndergradDegreeSeekingTotalPartTimeMale</t>
  </si>
  <si>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</si>
  <si>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</si>
  <si>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</si>
  <si>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</si>
  <si>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</si>
  <si>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</si>
  <si>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</si>
  <si>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</si>
  <si>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</si>
  <si>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</si>
  <si>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</si>
  <si>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</si>
  <si>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</si>
  <si>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</si>
  <si>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</si>
  <si>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</si>
  <si>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</si>
  <si>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</si>
  <si>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</si>
  <si>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</si>
  <si>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</si>
  <si>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</si>
  <si>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</si>
  <si>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</si>
  <si>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FreshmenHispanic</t>
  </si>
  <si>
    <t>UndergradTotalHispanic</t>
  </si>
  <si>
    <t>FreshmenWhite</t>
  </si>
  <si>
    <t>UndergradTotalWhite</t>
  </si>
  <si>
    <t>FreshmenRaceUnknown</t>
  </si>
  <si>
    <t>UndergradTotalRaceUnknown</t>
  </si>
  <si>
    <t>UndergradTotalStudents2</t>
  </si>
  <si>
    <t>UndergradDegreeSeekingBlack</t>
  </si>
  <si>
    <t>UndergradDegreeSeekingNativeAmerican</t>
  </si>
  <si>
    <t>CDSConcerns</t>
  </si>
  <si>
    <t>HomePageURL</t>
  </si>
  <si>
    <t>AdmissionsTollFreePhone</t>
  </si>
  <si>
    <t>AdmissionsCity</t>
  </si>
  <si>
    <t>AdmissionsState</t>
  </si>
  <si>
    <t>AdmissionsZip</t>
  </si>
  <si>
    <t>AdmissionsCountry</t>
  </si>
  <si>
    <t>AdmissionsFax</t>
  </si>
  <si>
    <t>AdmissionsEmail</t>
  </si>
  <si>
    <t>InstitutionalControl</t>
  </si>
  <si>
    <t>CoedStatus</t>
  </si>
  <si>
    <t>&lt;FreshmanAdmission Section="C"&gt;</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</si>
  <si>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</si>
  <si>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</si>
  <si>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</si>
  <si>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</si>
  <si>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</si>
  <si>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</si>
  <si>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</si>
  <si>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</si>
  <si>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</si>
  <si>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</si>
  <si>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</si>
  <si>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</si>
  <si>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</si>
  <si>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</si>
  <si>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</si>
  <si>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</si>
  <si>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</si>
  <si>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</si>
  <si>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</si>
  <si>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</si>
  <si>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</si>
  <si>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</si>
  <si>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</si>
  <si>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</si>
  <si>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</si>
  <si>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</si>
  <si>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</si>
  <si>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</si>
  <si>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</si>
  <si>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</si>
  <si>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</si>
  <si>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</si>
  <si>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</si>
  <si>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</si>
  <si>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</si>
  <si>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</si>
  <si>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</si>
  <si>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</si>
  <si>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</si>
  <si>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</si>
  <si>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</si>
  <si>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</si>
  <si>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</si>
  <si>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</si>
  <si>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</si>
  <si>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</si>
  <si>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</si>
  <si>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&lt;AcademicOfferingsAndPolicies Section="E"&gt;</t>
  </si>
  <si>
    <t>&lt;/AcademicOfferingsAndPolicies&gt;</t>
  </si>
  <si>
    <t>&lt;StudentLife Section="F"&gt;</t>
  </si>
  <si>
    <t>&lt;/StudentLife&gt;</t>
  </si>
  <si>
    <t>ArmyROTCLocation</t>
  </si>
  <si>
    <t>NavalROTCLocation</t>
  </si>
  <si>
    <t>AirForceROTCLocation</t>
  </si>
  <si>
    <t>&lt;AnnualExpenses Section="G"&gt;</t>
  </si>
  <si>
    <t>&lt;/AnnualExpenses&gt;</t>
  </si>
  <si>
    <t>UndergradTotalFullTimeFemale</t>
  </si>
  <si>
    <t>UndergradTotalPartTimeMale</t>
  </si>
  <si>
    <t>UndergradTotalPartTimeFemale</t>
  </si>
  <si>
    <t>FirstProfessionalFirstTimeFullTimeMale</t>
  </si>
  <si>
    <t>FirstProfessionalFirstTimeFullTimeFemale</t>
  </si>
  <si>
    <t>FirstProfessionalFirstTimePartTimeMale</t>
  </si>
  <si>
    <t>Institutional: Endowed scholarships, annual gifts and tuition funded grants, awarded by the college, excluding athletic aid and tuition waivers (which are reported below).</t>
  </si>
  <si>
    <t>StudentToFacultyRatioTotalFaculty</t>
  </si>
  <si>
    <t>DiplomaAgriculture</t>
  </si>
  <si>
    <t>AssociatesAgriculture</t>
  </si>
  <si>
    <t>BachelorsAgriculture</t>
  </si>
  <si>
    <t>DiplomaEnvironment</t>
  </si>
  <si>
    <t>AssociatesEnvironment</t>
  </si>
  <si>
    <t>BachelorsEnvironment</t>
  </si>
  <si>
    <t>DiplomaArchitecture</t>
  </si>
  <si>
    <t>AssociatesArchitecture</t>
  </si>
  <si>
    <t>BachelorsArchitecture</t>
  </si>
  <si>
    <t>DiplomaEthnicStudies</t>
  </si>
  <si>
    <t>AssociatesEthnicStudies</t>
  </si>
  <si>
    <t>BachelorsEthnicStudies</t>
  </si>
  <si>
    <t>DiplomaJournalism</t>
  </si>
  <si>
    <t>AssociatesJournalism</t>
  </si>
  <si>
    <t>BachelorsJournalism</t>
  </si>
  <si>
    <t>DiplomaCommunication</t>
  </si>
  <si>
    <t>AssociatesCommunication</t>
  </si>
  <si>
    <t>BachelorsCommunication</t>
  </si>
  <si>
    <t>DiplomaComputerScience</t>
  </si>
  <si>
    <t>AssociatesComputerScience</t>
  </si>
  <si>
    <t>BachelorsComputerScience</t>
  </si>
  <si>
    <t>DiplomaCulinary</t>
  </si>
  <si>
    <t>AssociatesCulinary</t>
  </si>
  <si>
    <t>BachelorsCulinary</t>
  </si>
  <si>
    <t>DiplomaEducation</t>
  </si>
  <si>
    <t>AssociatesEducation</t>
  </si>
  <si>
    <t>BachelorsEducation</t>
  </si>
  <si>
    <t>DiplomaEngineering</t>
  </si>
  <si>
    <t>AssociatesEngineering</t>
  </si>
  <si>
    <t>BachelorsEngineering</t>
  </si>
  <si>
    <t>DiplomaEngineeringTechnology</t>
  </si>
  <si>
    <t>AssociatesEngineeringTechnology</t>
  </si>
  <si>
    <t>BachelorsEngineeringTechnology</t>
  </si>
  <si>
    <t>DiplomaForeignLanguage</t>
  </si>
  <si>
    <t>AssociatesForeignLanguage</t>
  </si>
  <si>
    <t>BachelorsForeignLanguage</t>
  </si>
  <si>
    <t>DiplomaConsumerSciences</t>
  </si>
  <si>
    <t>AssociatesConsumerSciences</t>
  </si>
  <si>
    <t>BachelorsConsumerSciences</t>
  </si>
  <si>
    <t>DiplomaLaw</t>
  </si>
  <si>
    <t>AssociatesLaw</t>
  </si>
  <si>
    <t>BachelorsLaw</t>
  </si>
  <si>
    <t>DiplomaEnglish</t>
  </si>
  <si>
    <t>AssociatesEnglish</t>
  </si>
  <si>
    <t>BachelorsEnglish</t>
  </si>
  <si>
    <t>DiplomaLiberalArts</t>
  </si>
  <si>
    <t>AssociatesLiberalArts</t>
  </si>
  <si>
    <t>BachelorsLiberalArts</t>
  </si>
  <si>
    <t>DiplomaLibrary</t>
  </si>
  <si>
    <t>AssociatesLibrary</t>
  </si>
  <si>
    <t>BachelorsLibrary</t>
  </si>
  <si>
    <t>DiplomaBiology</t>
  </si>
  <si>
    <t>AssociatesBiology</t>
  </si>
  <si>
    <t>BachelorsBiology</t>
  </si>
  <si>
    <t>DiplomaMathematics</t>
  </si>
  <si>
    <t>AssociatesMathematics</t>
  </si>
  <si>
    <t>BachelorsMathematics</t>
  </si>
  <si>
    <t>DiplomaMilitary</t>
  </si>
  <si>
    <t>AssociatesMilitary</t>
  </si>
  <si>
    <t>BachelorsMilitary</t>
  </si>
  <si>
    <t>DiplomaInterdisciplinary</t>
  </si>
  <si>
    <t>AssociatesInterdisciplinary</t>
  </si>
  <si>
    <t>BachelorsInterdisciplinary</t>
  </si>
  <si>
    <t>DiplomaParks</t>
  </si>
  <si>
    <t>AssociatesParks</t>
  </si>
  <si>
    <t>BachelorsParks</t>
  </si>
  <si>
    <t>DiplomaPhilosophy</t>
  </si>
  <si>
    <t>AssociatesPhilosophy</t>
  </si>
  <si>
    <t>BachelorsPhilosophy</t>
  </si>
  <si>
    <t>DiplomaTheology</t>
  </si>
  <si>
    <t>AssociatesTheology</t>
  </si>
  <si>
    <t>BachelorsTheology</t>
  </si>
  <si>
    <t>DiplomaPhysicalSciences</t>
  </si>
  <si>
    <t>AssociatesPhysicalSciences</t>
  </si>
  <si>
    <t>BachelorsPhysicalSciences</t>
  </si>
  <si>
    <t>DiplomaScienceTech</t>
  </si>
  <si>
    <t>AssociatesScienceTech</t>
  </si>
  <si>
    <t>BachelorsScienceTech</t>
  </si>
  <si>
    <t>DiplomaPsychology</t>
  </si>
  <si>
    <t>AssociatesPsychology</t>
  </si>
  <si>
    <t>BachelorsPsychology</t>
  </si>
  <si>
    <t>DiplomaSecurity</t>
  </si>
  <si>
    <t>AssociatesSecurity</t>
  </si>
  <si>
    <t>BachelorsSecurity</t>
  </si>
  <si>
    <t>DiplomaPublicAdministration</t>
  </si>
  <si>
    <t>AssociatesPublicAdministration</t>
  </si>
  <si>
    <t>BachelorsPublicAdministration</t>
  </si>
  <si>
    <t>DiplomaSocialSciences</t>
  </si>
  <si>
    <t>AssociatesSocialSciences</t>
  </si>
  <si>
    <t>BachelorsSocialSciences</t>
  </si>
  <si>
    <t>DiplomaConstruction</t>
  </si>
  <si>
    <t>AssociatesConstruction</t>
  </si>
  <si>
    <t>BachelorsConstruction</t>
  </si>
  <si>
    <t>DiplomaMechanicTechnology</t>
  </si>
  <si>
    <t>AssociatesMechanicTechnology</t>
  </si>
  <si>
    <t>BachelorsMechanicTechnology</t>
  </si>
  <si>
    <t>DiplomaPrecisionProduction</t>
  </si>
  <si>
    <t>AssociatesPrecisionProduction</t>
  </si>
  <si>
    <t>BachelorsPrecisionProduction</t>
  </si>
  <si>
    <t>DiplomaTransportation</t>
  </si>
  <si>
    <t>AssociatesTransportation</t>
  </si>
  <si>
    <t>BachelorsTransportation</t>
  </si>
  <si>
    <t>DiplomaArts</t>
  </si>
  <si>
    <t>AssociatesArts</t>
  </si>
  <si>
    <t>BachelorsArts</t>
  </si>
  <si>
    <t>DiplomaHealth</t>
  </si>
  <si>
    <t>AssociatesHealth</t>
  </si>
  <si>
    <t>BachelorsHealth</t>
  </si>
  <si>
    <t>DiplomaBusiness</t>
  </si>
  <si>
    <t>AssociatesBusiness</t>
  </si>
  <si>
    <t>BachelorsBusiness</t>
  </si>
  <si>
    <t>DiplomaHistory</t>
  </si>
  <si>
    <t>AssociatesHistory</t>
  </si>
  <si>
    <t>BachelorsHistory</t>
  </si>
  <si>
    <t>DiplomaOther</t>
  </si>
  <si>
    <t>AssociatesOther</t>
  </si>
  <si>
    <t>BachelorsOther</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</si>
  <si>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</si>
  <si>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</si>
  <si>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</si>
  <si>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AvailableAidGrantsState</t>
  </si>
  <si>
    <t>AvailableAidGrantsPrivate</t>
  </si>
  <si>
    <t>AvailableAidGrantsInstitutional</t>
  </si>
  <si>
    <t>AvailableAidGrantsUNCF</t>
  </si>
  <si>
    <t>AvailableAidGrantsFederalNursing</t>
  </si>
  <si>
    <t>AvailableAidGrantsOther</t>
  </si>
  <si>
    <t>AidCriteriaNonNeedBasedAcademics</t>
  </si>
  <si>
    <t>AidCriteriaNeedBasedAcademics</t>
  </si>
  <si>
    <t>AidCriteriaNonNeedBasedAlumni</t>
  </si>
  <si>
    <t>AidCriteriaNeedBasedAlumni</t>
  </si>
  <si>
    <t>AidCriteriaNonNeedBasedArt</t>
  </si>
  <si>
    <t>AidCriteriaNeedBasedArt</t>
  </si>
  <si>
    <t>AidCriteriaNonNeedBasedAthletics</t>
  </si>
  <si>
    <t>AidCriteriaNeedBasedAthletics</t>
  </si>
  <si>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</si>
  <si>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</si>
  <si>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</si>
  <si>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</si>
  <si>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</si>
  <si>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</si>
  <si>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</si>
  <si>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</si>
  <si>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</si>
  <si>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</si>
  <si>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</si>
  <si>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</si>
  <si>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</si>
  <si>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</si>
  <si>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</si>
  <si>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</si>
  <si>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</si>
  <si>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</si>
  <si>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</si>
  <si>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</si>
  <si>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</si>
  <si>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</si>
  <si>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</si>
  <si>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</si>
  <si>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</si>
  <si>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</si>
  <si>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</si>
  <si>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</si>
  <si>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</si>
  <si>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</si>
  <si>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</si>
  <si>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</si>
  <si>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</si>
  <si>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</si>
  <si>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</si>
  <si>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</si>
  <si>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</si>
  <si>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</si>
  <si>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</si>
  <si>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</si>
  <si>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</si>
  <si>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</si>
  <si>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ExpensesOtherHomeCommuters</t>
  </si>
  <si>
    <t>ExpensesOtherNonHomeCommuters</t>
  </si>
  <si>
    <t>TuitionPerCreditPrivate</t>
  </si>
  <si>
    <t>TuitionPerCreditPublicInDistrict</t>
  </si>
  <si>
    <t>TuitionPerCreditPublicInState</t>
  </si>
  <si>
    <t>TuitionPerCreditPublicOutOfState</t>
  </si>
  <si>
    <t>TuitionPerCreditInternational</t>
  </si>
  <si>
    <t>CDS-H</t>
  </si>
  <si>
    <t>YearOfAid</t>
  </si>
  <si>
    <t>NeedsAnalysisMethodology</t>
  </si>
  <si>
    <t>GrantsFederalNeed</t>
  </si>
  <si>
    <t>GrantsFederalNonNeed</t>
  </si>
  <si>
    <t>GrantsStateNeed</t>
  </si>
  <si>
    <t>GrantsStateNonNeed</t>
  </si>
  <si>
    <t>GrantsInstitutionalNeed</t>
  </si>
  <si>
    <t>GrantsInstitutionalNonNeed</t>
  </si>
  <si>
    <t>GrantsExternalNeed</t>
  </si>
  <si>
    <t>GrantsExternalNonNeed</t>
  </si>
  <si>
    <t>GrantsTotalNeed</t>
  </si>
  <si>
    <t>GrantsTotalNonNeed</t>
  </si>
  <si>
    <t>SelfHelpStudentLoansNeed</t>
  </si>
  <si>
    <t>SelfHelpStudentLoansNonNeed</t>
  </si>
  <si>
    <t>SelfHelpFederalWorkStudy</t>
  </si>
  <si>
    <t>SelfHelpOtherWorkStudyNeed</t>
  </si>
  <si>
    <t>SelfHelpOtherWorkStudyNonNeed</t>
  </si>
  <si>
    <t>SelfHelpTotalNeed</t>
  </si>
  <si>
    <t>SelfHelpTotalNonNeed</t>
  </si>
  <si>
    <t>OtherFinancialAidParentLoansNeed</t>
  </si>
  <si>
    <t>OtherFinancialAidParentLoansNonNeed</t>
  </si>
  <si>
    <t>OtherFinancialAidTuitionWaversNeed</t>
  </si>
  <si>
    <t>OtherFinancialAidTuitionWaversNonNeed</t>
  </si>
  <si>
    <t>OtherFinancialAidAthleticNeed</t>
  </si>
  <si>
    <t>OtherFinancialAidAthleticNonNeed</t>
  </si>
  <si>
    <t>UndergradFullTime</t>
  </si>
  <si>
    <t>FreshmanFullTime</t>
  </si>
  <si>
    <t>UndergradPartTime</t>
  </si>
  <si>
    <t>UndergradPartTimeAppliedForNeedBasedAid</t>
  </si>
  <si>
    <t>UndergradFullTimeAppliedForNeedBasedAid</t>
  </si>
  <si>
    <t>FreshmanFullTimeAppliedForNeedBasedAid</t>
  </si>
  <si>
    <t>FreshmanFullTimeWithNeed</t>
  </si>
  <si>
    <t>UndergradFullTimeWithNeed</t>
  </si>
  <si>
    <t>UndergradPartTimeWithNeed</t>
  </si>
  <si>
    <t>FreshmanFullTimeAwardedAnyFinancialAid</t>
  </si>
  <si>
    <t>UndergradFullTimeAwardedAnyFinancialAid</t>
  </si>
  <si>
    <t>UndergradPartTimeAwardedAnyFinancialAid</t>
  </si>
  <si>
    <t>FreshmanFullTimeAwardedNeedBasedGrant</t>
  </si>
  <si>
    <t>UndergradFullTimeAwardedNeedBasedGrant</t>
  </si>
  <si>
    <t>UndergradPartTimeAwardedNeedBasedGrant</t>
  </si>
  <si>
    <t>FreshmanFullTimeAwardedNeedBasedSelfHelp</t>
  </si>
  <si>
    <t>UndergradFullTimeAwardedNeedBasedSelfHelp</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</si>
  <si>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</si>
  <si>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Strategic Planning and Analysis</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</si>
  <si>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</si>
  <si>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</si>
  <si>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</si>
  <si>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</si>
  <si>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</si>
  <si>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</si>
  <si>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</si>
  <si>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</si>
  <si>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</si>
  <si>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</si>
  <si>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</si>
  <si>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</si>
  <si>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</si>
  <si>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</si>
  <si>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</si>
  <si>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t>ActivitiesOfferedConcertBand</t>
  </si>
  <si>
    <t>ActivitiesOfferedDance</t>
  </si>
  <si>
    <t>ActivitiesOfferedDrama</t>
  </si>
  <si>
    <t>ActivitiesOfferedJazz</t>
  </si>
  <si>
    <t>ActivitiesOfferedLiteraryMagazine</t>
  </si>
  <si>
    <t>ActivitiesOfferedMarchingBand</t>
  </si>
  <si>
    <t>ActivitiesOfferedMusicEnsembles</t>
  </si>
  <si>
    <t>ActivitiesOfferedMusicalTheater</t>
  </si>
  <si>
    <t>ActivitiesOfferedOpera</t>
  </si>
  <si>
    <t>ActivitiesOfferedPepBand</t>
  </si>
  <si>
    <t>ActivitiesOfferedRadio</t>
  </si>
  <si>
    <t>ActivitiesOfferedStudentGovernment</t>
  </si>
  <si>
    <t>ActivitiesOfferedNewspaper</t>
  </si>
  <si>
    <t>ActivitiesOfferedFilmSociety</t>
  </si>
  <si>
    <t>ActivitiesOfferedOrchestra</t>
  </si>
  <si>
    <t>ActivitiesOfferedTelevision</t>
  </si>
  <si>
    <t>ActivitiesOfferedYearbook</t>
  </si>
  <si>
    <t>ArmyROTCOffCampusInstitution</t>
  </si>
  <si>
    <t>NavalROTCOffCampusInstitution</t>
  </si>
  <si>
    <t>AirForceROTCOffCampusInstitution</t>
  </si>
  <si>
    <t>HousingCoedDorms</t>
  </si>
  <si>
    <t>HousingMensDorms</t>
  </si>
  <si>
    <t>HousingWomensDorms</t>
  </si>
  <si>
    <t>HousingMarriedApartments</t>
  </si>
  <si>
    <t>HousingSingleApartments</t>
  </si>
  <si>
    <t>HousingForDisabledStudents</t>
  </si>
  <si>
    <t>HousingForInternationalStudents</t>
  </si>
  <si>
    <t>HousingGreekForGreekSystem</t>
  </si>
  <si>
    <t>HousingCooperative</t>
  </si>
  <si>
    <t>HousingOtherOptions</t>
  </si>
  <si>
    <t>CDS-G</t>
  </si>
  <si>
    <t>TestScoresACTWriting75thPercentile</t>
  </si>
  <si>
    <t>FreshmanSATScoresByRangeCriticalReading700_800</t>
  </si>
  <si>
    <t>FreshmanSATScoresByRangeMath700_800</t>
  </si>
  <si>
    <t>FreshmanSATScoresByRangeWriting700_800</t>
  </si>
  <si>
    <t>FreshmanSATScoresByRangeCriticalReadingTotal</t>
  </si>
  <si>
    <t>FreshmanSATScoresByRangeMathTotal</t>
  </si>
  <si>
    <t>FreshmanSATScoresByRangeWritingTotal</t>
  </si>
  <si>
    <t>FreshmanSATScoresByRangeCriticalReading600_699</t>
  </si>
  <si>
    <t>FreshmanSATScoresByRangeMath600_699</t>
  </si>
  <si>
    <t>FreshmanSATScoresByRangeWriting600_699</t>
  </si>
  <si>
    <t>FreshmanSATScoresByRangeCriticalReading500_599</t>
  </si>
  <si>
    <t>FreshmanSATScoresByRangeMath500_599</t>
  </si>
  <si>
    <t>FreshmanSATScoresByRangeWriting500_599</t>
  </si>
  <si>
    <t>FreshmanSATScoresByRangeCriticalReading400_499</t>
  </si>
  <si>
    <t>FreshmanSATScoresByRangeMath400_499</t>
  </si>
  <si>
    <t>FreshmanSATScoresByRangeWriting400_499</t>
  </si>
  <si>
    <t>FreshmanSATScoresByRangeCriticalReading300_399</t>
  </si>
  <si>
    <t>FreshmanSATScoresByRangeMath300_399</t>
  </si>
  <si>
    <t>FreshmanSATScoresByRangeWriting300_399</t>
  </si>
  <si>
    <t>FreshmanSATScoresByRangeCriticalReading200_299</t>
  </si>
  <si>
    <t>FreshmanSATScoresByRangeMath200_299</t>
  </si>
  <si>
    <t>FreshmanSATScoresByRangeWriting200_299</t>
  </si>
  <si>
    <t>FreshmanACTScoresByRangeComposite30_36</t>
  </si>
  <si>
    <t>FreshmanACTScoresByRangeEnglish30_36</t>
  </si>
  <si>
    <t>FreshmanACTScoresByRangeMath30_36</t>
  </si>
  <si>
    <t>Communication technologies</t>
  </si>
  <si>
    <t>Personal and culinary services</t>
  </si>
  <si>
    <t>Engineering</t>
  </si>
  <si>
    <t>Engineering technologies</t>
  </si>
  <si>
    <t>Family and consumer sciences</t>
  </si>
  <si>
    <t>Philosophy and religious studies</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</si>
  <si>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</si>
  <si>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</si>
  <si>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</si>
  <si>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</si>
  <si>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</si>
  <si>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</si>
  <si>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</si>
  <si>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</si>
  <si>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</si>
  <si>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</si>
  <si>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</si>
  <si>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</si>
  <si>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</si>
  <si>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</si>
  <si>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</si>
  <si>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</si>
  <si>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N/A</t>
  </si>
  <si>
    <t>TwoYearCohortYear</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</si>
  <si>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</si>
  <si>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</si>
  <si>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</si>
  <si>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</si>
  <si>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</si>
  <si>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</si>
  <si>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</si>
  <si>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</si>
  <si>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 xml:space="preserve">Student-designed major: </t>
    </r>
    <r>
      <rPr>
        <sz val="10"/>
        <color indexed="8"/>
        <rFont val="Arial"/>
        <family val="2"/>
      </rPr>
      <t>A program of study based on individual interests, designed with the assistance of an adviser.</t>
    </r>
  </si>
  <si>
    <t>FreshmanEnrolledPartTimeMale</t>
  </si>
  <si>
    <t>FreshmanEnrolledPartTimeFemale</t>
  </si>
  <si>
    <t>WaitListPolicy</t>
  </si>
  <si>
    <t>WaitListQualifiedApplicants</t>
  </si>
  <si>
    <t>WaitListPlacesAccepted</t>
  </si>
  <si>
    <t>WaitListAdmitted</t>
  </si>
  <si>
    <t>WaitListRanked</t>
  </si>
  <si>
    <t>WaitListRanksReleasedToStudents</t>
  </si>
  <si>
    <t>WaitListRanksReleasedToCounselors</t>
  </si>
  <si>
    <t>CollegePrepRequirement</t>
  </si>
  <si>
    <t>HighSchoolDiplomaRequirement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</si>
  <si>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</si>
  <si>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</si>
  <si>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</si>
  <si>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</si>
  <si>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</si>
  <si>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</si>
  <si>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</si>
  <si>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</si>
  <si>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</si>
  <si>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Percentages of first-time, first-year (freshman) students and all degree-seeking undergraduates enrolled in fall 2007 who fit the following categories:</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</si>
  <si>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</si>
  <si>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</si>
  <si>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</si>
  <si>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</si>
  <si>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t>&lt;/FreshmanAdmission&gt;</t>
  </si>
  <si>
    <t>&lt;TransferAdmission Section="D"&gt;</t>
  </si>
  <si>
    <t>&lt;/TransferAdmission&gt;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</si>
  <si>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</si>
  <si>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</si>
  <si>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&lt;Data&gt;</t>
  </si>
  <si>
    <t>&lt;/Data&gt;</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</si>
  <si>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</si>
  <si>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</si>
  <si>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</si>
  <si>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t>AdmissionSelectionAcademicRigorHighSchoolRecord</t>
  </si>
  <si>
    <t>SATACTWritingComponentUseForAdmissions</t>
  </si>
  <si>
    <t>SATACTWritingComponentUseForAdvising</t>
  </si>
  <si>
    <t>SATACTWritingComponentUseInPlaceOfEssay</t>
  </si>
  <si>
    <t>SATACTWritingComponentUseEssayValidityCheck</t>
  </si>
  <si>
    <t>SATACTWritingComponentUseEssayNoPolicy</t>
  </si>
  <si>
    <t>SATACTWritingComponentUseNone</t>
  </si>
  <si>
    <t>ClassRankPercentTop10</t>
  </si>
  <si>
    <t>ClassRankPercentTop25</t>
  </si>
  <si>
    <t>ClassRankPercentTop50</t>
  </si>
  <si>
    <t>ClassRankPercentBottom50</t>
  </si>
  <si>
    <t>ClassRankPercentBottom25</t>
  </si>
  <si>
    <t>ClassRankPercentPercentSubmitted</t>
  </si>
  <si>
    <t>GPAPercent3_75To4</t>
  </si>
  <si>
    <t>GPAPercent3_5To3_74</t>
  </si>
  <si>
    <t>Overview</t>
  </si>
  <si>
    <t>Notes</t>
  </si>
  <si>
    <t>Green Boxes</t>
  </si>
  <si>
    <t>The green boxes throughout the spreadsheet indicate where data inputs should be typed in order to be included in the XML file. If you type data outside of these boxes, they will not automatically be fed into the XML Output page.</t>
  </si>
  <si>
    <t>'XMLFile' Tab</t>
  </si>
  <si>
    <r>
      <t xml:space="preserve">The </t>
    </r>
    <r>
      <rPr>
        <b/>
        <sz val="10"/>
        <rFont val="Arial"/>
        <family val="2"/>
      </rPr>
      <t>XMLFile</t>
    </r>
    <r>
      <rPr>
        <sz val="10"/>
        <rFont val="Arial"/>
        <family val="0"/>
      </rPr>
      <t xml:space="preserve"> tab in the spreadsheet is your XML output. This page pulls your answers from the CDS survey into an easy-to-distribute XML format. To create an XML file, you simply need to copy and paste this information into a text editing program (Notepad if you are using a PC and TextEdit if you are using a Mac). When you save the file, include </t>
    </r>
    <r>
      <rPr>
        <b/>
        <sz val="10"/>
        <rFont val="Arial"/>
        <family val="2"/>
      </rPr>
      <t>.xml</t>
    </r>
    <r>
      <rPr>
        <sz val="10"/>
        <rFont val="Arial"/>
        <family val="2"/>
      </rPr>
      <t xml:space="preserve"> (not .txt) at the end of the filename.</t>
    </r>
  </si>
  <si>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</si>
  <si>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</si>
  <si>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</si>
  <si>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</si>
  <si>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</si>
  <si>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</si>
  <si>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</si>
  <si>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</si>
  <si>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</si>
  <si>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</si>
  <si>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CreditsForFullTuitionMinimum</t>
  </si>
  <si>
    <t>CreditsForFullTuitionMaximum</t>
  </si>
  <si>
    <t>TuitionVaryByYear</t>
  </si>
  <si>
    <t>TuitionVaryByProgramExplanation</t>
  </si>
  <si>
    <t>ExpensesBooksResidents</t>
  </si>
  <si>
    <t>ExpensesBooksHomeCommuters</t>
  </si>
  <si>
    <t>ExpensesBooksNonHomeCommuters</t>
  </si>
  <si>
    <t>ExpensesRoomNonHomeCommuters</t>
  </si>
  <si>
    <t>ExpensesBoardHomeCommuters</t>
  </si>
  <si>
    <t>ExpensesBoardNonHomeCommuters</t>
  </si>
  <si>
    <t>ExpensesTransportationResidents</t>
  </si>
  <si>
    <t>ExpensesTransportationHomeCommuters</t>
  </si>
  <si>
    <t>ExpensesTransportationNonHomeCommuters</t>
  </si>
  <si>
    <t>ExpensesOtherResidents</t>
  </si>
  <si>
    <t>SpecialStudyOptionsAcceleratedProgram</t>
  </si>
  <si>
    <t>SpecialStudyOptionsWorkStudy</t>
  </si>
  <si>
    <t>SpecialStudyOptionsCrossRegistration</t>
  </si>
  <si>
    <t>SpecialStudyOptionsDistanceLearning</t>
  </si>
  <si>
    <t>SpecialStudyOptionsDoubleMajor</t>
  </si>
  <si>
    <t>SpecialStudyOptionsDualEnrollment</t>
  </si>
  <si>
    <t>SpecialStudyOptionsESL</t>
  </si>
  <si>
    <t>SpecialStudyOptionsDomesticExchange</t>
  </si>
  <si>
    <t>SpecialStudyOptionsExternalDegree</t>
  </si>
  <si>
    <t>SpecialStudyOptionsHonors</t>
  </si>
  <si>
    <t>SpecialStudyOptionsIndependent</t>
  </si>
  <si>
    <t>SpecialStudyOptionsInternships</t>
  </si>
  <si>
    <t>SpecialStudyOptionsLiberalArts</t>
  </si>
  <si>
    <t>SpecialStudyOptionsStudentDesignedMajors</t>
  </si>
  <si>
    <t>SpecialStudyOptionsStudyAbroad</t>
  </si>
  <si>
    <t>SpecialStudyOptionsTeacherCertification</t>
  </si>
  <si>
    <t>SpecialStudyOptionsWeekendCollege</t>
  </si>
  <si>
    <t>SpecialStudyOptionsOther</t>
  </si>
  <si>
    <t>RequiredCoursesArt</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</si>
  <si>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</si>
  <si>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</si>
  <si>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</si>
  <si>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</si>
  <si>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</si>
  <si>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</si>
  <si>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</si>
  <si>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</si>
  <si>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UndergradFullTimeNeedFullyMet</t>
  </si>
  <si>
    <t>UndergradPartTimeNeedFullyMet</t>
  </si>
  <si>
    <t>FreshmanFullTimePercentOfNeedMet</t>
  </si>
  <si>
    <t>UndergradFullTimePercentOfNeedMet</t>
  </si>
  <si>
    <t>UndergradPartTimePercentOfNeedMet</t>
  </si>
  <si>
    <t>FreshmanFullTimeAverageFinancialAidPackage</t>
  </si>
  <si>
    <t>UndergradFullTimeAverageFinancialAidPackage</t>
  </si>
  <si>
    <t>UndergradPartTimeAverageFinancialAidPackage</t>
  </si>
  <si>
    <t>FreshmanFullTimeAverageNeedBasedGrant</t>
  </si>
  <si>
    <t>UndergradFullTimeAverageNeedBasedGrant</t>
  </si>
  <si>
    <t>UndergradPartTimeAverageNeedBasedGrant</t>
  </si>
  <si>
    <t>FreshmanFullTimeAverageNeedBasedSelfHelp</t>
  </si>
  <si>
    <t>UndergradFullTimeAverageNeedBasedSelfHelp</t>
  </si>
  <si>
    <t>UndergradPartTimeAverageNeedBasedSelfHelp</t>
  </si>
  <si>
    <t>FreshmanFullTimeAverageNeedBasedLoan</t>
  </si>
  <si>
    <t>UndergradFullTimeAverageNeedBasedLoan</t>
  </si>
  <si>
    <t>UndergradPartTimeAverageNeedBasedLoan</t>
  </si>
  <si>
    <t>FreshmanFullTimeNoNeedAwardedNonNeedBasedGrant</t>
  </si>
  <si>
    <t>UndergradFullTimeNoNeedAwardedNonNeedBasedGrant</t>
  </si>
  <si>
    <t>UndergradPartTimeNoNeedAwardedNonNeedBasedGrant</t>
  </si>
  <si>
    <t>FreshmanFullTimeNoNeedAverageNonNeedBasedGrantAward</t>
  </si>
  <si>
    <t>UndergradFullTimeNoNeedAverageNonNeedBasedGrantAward</t>
  </si>
  <si>
    <t>UndergradPartTimeNoNeedAverageNonNeedBasedGrantAward</t>
  </si>
  <si>
    <t>FreshmanFullTimeNoNeedAwardedAthleticScholarship</t>
  </si>
  <si>
    <t>UndergradFullTimeNoNeedAwardedAthleticScholarship</t>
  </si>
  <si>
    <t>UndergradPartTimeNoNeedAwardedAthleticScholarship</t>
  </si>
  <si>
    <t>FreshmanFullTimeNoNeedAverageNonNeedBasedAthleticAwards</t>
  </si>
  <si>
    <t>UndergradFullTimeNoNeedAverageNonNeedBasedAthleticAwards</t>
  </si>
  <si>
    <t>UndergradPartTimeNoNeedAverageNonNeedBasedAthleticAwards</t>
  </si>
  <si>
    <t>UndergradRecentGraduatesReceivedLoanPercent</t>
  </si>
  <si>
    <t>UndergradRecentGraduatesReceivedFederalLoanPercent</t>
  </si>
  <si>
    <t>UndergradRecentGraduatesLoanAverage</t>
  </si>
  <si>
    <t>UndergradRecentGraduatesFederalLoanAverage</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</si>
  <si>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</si>
  <si>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</si>
  <si>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</si>
  <si>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</si>
  <si>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</si>
  <si>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</si>
  <si>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</si>
  <si>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</si>
  <si>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</si>
  <si>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</si>
  <si>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</si>
  <si>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</si>
  <si>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</si>
  <si>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</si>
  <si>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</si>
  <si>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</si>
  <si>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</si>
  <si>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</si>
  <si>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</si>
  <si>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</si>
  <si>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</si>
  <si>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</si>
  <si>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</si>
  <si>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</si>
  <si>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FreshmanACTScoresByRangeComposite24_29</t>
  </si>
  <si>
    <t>FreshmanACTScoresByRangeEnglish24_29</t>
  </si>
  <si>
    <t>FreshmanACTScoresByRangeMath24_29</t>
  </si>
  <si>
    <t>FreshmanACTScoresByRangeComposite18_23</t>
  </si>
  <si>
    <t>FreshmanACTScoresByRangeEnglish18_23</t>
  </si>
  <si>
    <t>FreshmanACTScoresByRangeMath18_23</t>
  </si>
  <si>
    <t>FreshmanACTScoresByRangeComposite12_17</t>
  </si>
  <si>
    <t>FreshmanACTScoresByRangeEnglish12_17</t>
  </si>
  <si>
    <t>FreshmanACTScoresByRangeMath12_17</t>
  </si>
  <si>
    <t>FreshmanACTScoresByRangeComposite6_11</t>
  </si>
  <si>
    <t>GPAPercent3_25To3_49</t>
  </si>
  <si>
    <t>GPAPercent3To3_24</t>
  </si>
  <si>
    <t>GPAPercent2_5To2_99</t>
  </si>
  <si>
    <t>GPAPercent2To2_49</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</si>
  <si>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</si>
  <si>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</si>
  <si>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 xml:space="preserve">Six-year graduation rate for 2001 cohort (question B10 divided by question B6): </t>
  </si>
  <si>
    <t>BaseYear</t>
  </si>
  <si>
    <t>Please provide data for the 2004 cohort if available. If 2004 cohort data are not available, provide data for the 2003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</si>
  <si>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</si>
  <si>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</si>
  <si>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</si>
  <si>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2004 Cohort</t>
  </si>
  <si>
    <t>Fall 2001 Cohort</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</si>
  <si>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</si>
  <si>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</si>
  <si>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</si>
  <si>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</si>
  <si>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</si>
  <si>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</si>
  <si>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</si>
  <si>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</si>
  <si>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t>EarlyDecision</t>
  </si>
  <si>
    <t>EarlyDesicionFirstClosingDate</t>
  </si>
  <si>
    <t>EarlyDesicionFirstNotificationDate</t>
  </si>
  <si>
    <t>EarlyDesicionOtherNotificationDate</t>
  </si>
  <si>
    <t>EarlyDesicionOtherClosingDate</t>
  </si>
  <si>
    <t>EarlyDesicionApplicationsReceived</t>
  </si>
  <si>
    <t>EarlyDesicionApplicantsAdmitted</t>
  </si>
  <si>
    <t>EarlyDecisionPolicyDetails</t>
  </si>
  <si>
    <t>EarlyAction</t>
  </si>
  <si>
    <t>EarlyActionClosingDate</t>
  </si>
  <si>
    <t>EarlyActionNotificationDate</t>
  </si>
  <si>
    <t>EarlyActionRestrictive</t>
  </si>
  <si>
    <t>CDS-D</t>
  </si>
  <si>
    <t>TransfersAccepted</t>
  </si>
  <si>
    <t>TransferCredit</t>
  </si>
  <si>
    <t>TransferApplicantsMale</t>
  </si>
  <si>
    <t>TransferApplicantsAdmittedMale</t>
  </si>
  <si>
    <t>TransferApplicantsEnrolledMale</t>
  </si>
  <si>
    <t>TransferApplicantsFemale</t>
  </si>
  <si>
    <t>TransferApplicantsAdmittedFemale</t>
  </si>
  <si>
    <t>TransferApplicantsEnrolledFemale</t>
  </si>
  <si>
    <t>TransferApplicantsTotal</t>
  </si>
  <si>
    <t>TransferApplicantsAdmittedTotal</t>
  </si>
  <si>
    <t>TransferApplicantsEnrolledTotal</t>
  </si>
  <si>
    <t>TransferTermFall</t>
  </si>
  <si>
    <t>TransferTermWinter</t>
  </si>
  <si>
    <t>TransferTermSpring</t>
  </si>
  <si>
    <t>TransferTermSummer</t>
  </si>
  <si>
    <t>Indicate terms for which transfers may enroll: (Check only if "Yes")</t>
  </si>
  <si>
    <t>TransferMinimumCredits</t>
  </si>
  <si>
    <t>TransferMinimumCreditsNeeded</t>
  </si>
  <si>
    <t>Credits</t>
  </si>
  <si>
    <t>Unit of Measure</t>
  </si>
  <si>
    <t>TransferCreditUnit</t>
  </si>
  <si>
    <t>sem crhr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</si>
  <si>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</si>
  <si>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</si>
  <si>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</si>
  <si>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</si>
  <si>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</si>
  <si>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</si>
  <si>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</si>
  <si>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</si>
  <si>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</si>
  <si>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</si>
  <si>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</si>
  <si>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</si>
  <si>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</si>
  <si>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</si>
  <si>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</si>
  <si>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</si>
  <si>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</si>
  <si>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</si>
  <si>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r>
      <t xml:space="preserve">Note: </t>
    </r>
    <r>
      <rPr>
        <sz val="10"/>
        <rFont val="Arial"/>
        <family val="2"/>
      </rPr>
      <t>These are the graduates and loan types to include and exclude in order to fill out CDS H4, H4a, H5, and H5a.</t>
    </r>
  </si>
  <si>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</si>
  <si>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</si>
  <si>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</si>
  <si>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</si>
  <si>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</si>
  <si>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</si>
  <si>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</si>
  <si>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</si>
  <si>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</si>
  <si>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</si>
  <si>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</si>
  <si>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</si>
  <si>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</si>
  <si>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</si>
  <si>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</si>
  <si>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</si>
  <si>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</si>
  <si>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</si>
  <si>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</si>
  <si>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</si>
  <si>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</si>
  <si>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</si>
  <si>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</si>
  <si>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</si>
  <si>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</si>
  <si>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</si>
  <si>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ACTTestPolicyWriting</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</si>
  <si>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</si>
  <si>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</si>
  <si>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</si>
  <si>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</si>
  <si>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</si>
  <si>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</si>
  <si>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</si>
  <si>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</si>
  <si>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</si>
  <si>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</si>
  <si>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</si>
  <si>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</si>
  <si>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</si>
  <si>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</si>
  <si>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</si>
  <si>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</si>
  <si>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</si>
  <si>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</si>
  <si>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</si>
  <si>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</si>
  <si>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</si>
  <si>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</si>
  <si>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</si>
  <si>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</si>
  <si>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</si>
  <si>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</si>
  <si>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</si>
  <si>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</si>
  <si>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</si>
  <si>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</si>
  <si>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</si>
  <si>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Total part-time, first-time, first-year (freshman) women who enrolled</t>
  </si>
  <si>
    <t>Freshman wait-listed students (students who met admission requirements but whose final admission was contingent on space availability)</t>
  </si>
  <si>
    <t>Fall 2000 Cohort</t>
  </si>
  <si>
    <t>Report for the cohort of full-time first-time bachelor's (or equivalent) degree-seeking undergraduate students who entered in fall 2000. Include in the cohort those who entered your institution during the summer term preceding fall 2000.</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</si>
  <si>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</si>
  <si>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</si>
  <si>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</si>
  <si>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</si>
  <si>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</si>
  <si>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</si>
  <si>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</si>
  <si>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</si>
  <si>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</si>
  <si>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</si>
  <si>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</si>
  <si>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</si>
  <si>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</si>
  <si>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</si>
  <si>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</si>
  <si>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AdmissionSelectionNonAcademicVolunteerWork</t>
  </si>
  <si>
    <t>AdmissionSelectionNonAcademicWorkExperience</t>
  </si>
  <si>
    <t>AdmissionSelectionNonAcademicInterestLevel</t>
  </si>
  <si>
    <t>SATOrACT</t>
  </si>
  <si>
    <t>SATACTTestPolicySATOrACT</t>
  </si>
  <si>
    <t>SATACTTestPolicyACTOnly</t>
  </si>
  <si>
    <t>SATACTTestPolicySATSubjectOrACT</t>
  </si>
  <si>
    <t>SATACTTestPolicySATOnly</t>
  </si>
  <si>
    <t>SATACTTestPolicySATSubjectOnly</t>
  </si>
  <si>
    <t>AltMailingAddress</t>
  </si>
  <si>
    <t>AcademicCalendar</t>
  </si>
  <si>
    <t>AcademicCalendarExplain</t>
  </si>
  <si>
    <t xml:space="preserve">other (explain below) </t>
  </si>
  <si>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</si>
  <si>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</si>
  <si>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</si>
  <si>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</si>
  <si>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</si>
  <si>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</si>
  <si>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</si>
  <si>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</si>
  <si>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</si>
  <si>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</si>
  <si>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</si>
  <si>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</si>
  <si>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</si>
  <si>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</si>
  <si>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</si>
  <si>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</si>
  <si>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</si>
  <si>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</si>
  <si>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</si>
  <si>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</si>
  <si>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</si>
  <si>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</si>
  <si>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</si>
  <si>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</si>
  <si>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</si>
  <si>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</si>
  <si>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</si>
  <si>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</si>
  <si>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</si>
  <si>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</si>
  <si>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2007 Student to Faculty ratio</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</si>
  <si>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</si>
  <si>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</si>
  <si>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</si>
  <si>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</si>
  <si>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</si>
  <si>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</si>
  <si>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</si>
  <si>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</si>
  <si>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</si>
  <si>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</si>
  <si>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</si>
  <si>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</si>
  <si>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</si>
  <si>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</si>
  <si>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</si>
  <si>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</si>
  <si>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</si>
  <si>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</si>
  <si>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</si>
  <si>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</si>
  <si>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</si>
  <si>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</si>
  <si>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</si>
  <si>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</si>
  <si>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</si>
  <si>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</si>
  <si>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</si>
  <si>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</si>
  <si>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</si>
  <si>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</si>
  <si>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</si>
  <si>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</si>
  <si>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</si>
  <si>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</si>
  <si>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</si>
  <si>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</si>
  <si>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</si>
  <si>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</si>
  <si>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</si>
  <si>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</si>
  <si>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</si>
  <si>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</si>
  <si>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</si>
  <si>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</si>
  <si>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</si>
  <si>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</si>
  <si>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</si>
  <si>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</si>
  <si>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</si>
  <si>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</si>
  <si>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</si>
  <si>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</si>
  <si>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</si>
  <si>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</si>
  <si>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</si>
  <si>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</si>
  <si>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</si>
  <si>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</si>
  <si>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</si>
  <si>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</si>
  <si>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</si>
  <si>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</si>
  <si>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</si>
  <si>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</si>
  <si>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</si>
  <si>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</si>
  <si>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</si>
  <si>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</si>
  <si>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</si>
  <si>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</si>
  <si>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</si>
  <si>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</si>
  <si>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</si>
  <si>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</si>
  <si>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t>SATACTUsedForAcademicAdvising</t>
  </si>
  <si>
    <t>SATACTDeadline</t>
  </si>
  <si>
    <t>SATSubjectDeadline</t>
  </si>
  <si>
    <t>SATACTPolicyClarify</t>
  </si>
  <si>
    <t>State Exam (specify below):</t>
  </si>
  <si>
    <t>TestForPlacementSAT</t>
  </si>
  <si>
    <t>TestForPlacementACT</t>
  </si>
  <si>
    <t>TestForPlacementSATSubject</t>
  </si>
  <si>
    <t>TestForPlacementAP</t>
  </si>
  <si>
    <t>TestForPlacementCLEP</t>
  </si>
  <si>
    <t>TestForPlacementInstitutional</t>
  </si>
  <si>
    <t>TestForPlacementStateExam</t>
  </si>
  <si>
    <t>SATSubmissionPercent</t>
  </si>
  <si>
    <t>SATSubmissionNumber</t>
  </si>
  <si>
    <t>ACTSubmissionPercent</t>
  </si>
  <si>
    <t>ACTSubmissionNumber</t>
  </si>
  <si>
    <t>TestScoresSATCriticalReading25thPercentile</t>
  </si>
  <si>
    <t>TestScoresSATCriticalReading75thPercentile</t>
  </si>
  <si>
    <t>TestScoresSATMath25thPercentile</t>
  </si>
  <si>
    <t>TestScoresSATMath75thPercentile</t>
  </si>
  <si>
    <t>TestScoresSATWriting25thPercentile</t>
  </si>
  <si>
    <t>TestScoresSATWriting75thPercentile</t>
  </si>
  <si>
    <t>TestScoresSATEssay25thPercentile</t>
  </si>
  <si>
    <t>TestScoresSATEssay75thPercentile</t>
  </si>
  <si>
    <t>TestScoresACTComposite25thPercentile</t>
  </si>
  <si>
    <t>TestScoresACTComposite75thPercentile</t>
  </si>
  <si>
    <t>TestScoresACTMath25thPercentile</t>
  </si>
  <si>
    <t>TestScoresACTMath75thPercentile</t>
  </si>
  <si>
    <t>TestScoresACTEnglish25thPercentile</t>
  </si>
  <si>
    <t>TestScoresACTEnglish75thPercentile</t>
  </si>
  <si>
    <t>TestScoresACTWriting25thPercentile</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</si>
  <si>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</si>
  <si>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</si>
  <si>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</si>
  <si>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</si>
  <si>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</si>
  <si>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</si>
  <si>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</si>
  <si>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</si>
  <si>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</si>
  <si>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</si>
  <si>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</si>
  <si>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</si>
  <si>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</si>
  <si>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CostOfAttendanceAvailableDate</t>
  </si>
  <si>
    <t>CostOfAttendanceNotAvailable</t>
  </si>
  <si>
    <t>TuitionPrivateFreshmen</t>
  </si>
  <si>
    <t>TuitionPrivateStudents</t>
  </si>
  <si>
    <t>TuitionPublicFreshmenInDistrict</t>
  </si>
  <si>
    <t>TuitionPublicStudentsInDistrict</t>
  </si>
  <si>
    <t>TuitionPublicFreshmenInState</t>
  </si>
  <si>
    <t>TuitionPublicStudentsInState</t>
  </si>
  <si>
    <t>TuitionPublicFreshmenOutOfState</t>
  </si>
  <si>
    <t>TuitionPublicOutOfState</t>
  </si>
  <si>
    <t>TuitionFreshmenInternational</t>
  </si>
  <si>
    <t>TuitionStudentsInternational</t>
  </si>
  <si>
    <t>RequiredFeesFreshmen</t>
  </si>
  <si>
    <t>RequiredFeesStudents</t>
  </si>
  <si>
    <t>RoomAndBoardFreshmen</t>
  </si>
  <si>
    <t>RoomAndBoardStudents</t>
  </si>
  <si>
    <t>RoomOnlyFreshmen</t>
  </si>
  <si>
    <t>RoomOnlyStudents</t>
  </si>
  <si>
    <t>BoardOnlyFreshmen</t>
  </si>
  <si>
    <t>BoardOnlyStudents</t>
  </si>
  <si>
    <t>ComprehensiveTuitionAndRoomAndBoard</t>
  </si>
  <si>
    <t>CostOfAttendanceOther</t>
  </si>
  <si>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</si>
  <si>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</si>
  <si>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 xml:space="preserve">If necessary, use this space to clarify your test policies (e.g., if tests are recommended for some students, or if tests are not required of some students):  </t>
  </si>
  <si>
    <t>PRIVATE INSTITUTIONS
Tuition:</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</si>
  <si>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</si>
  <si>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</si>
  <si>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</si>
  <si>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</si>
  <si>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</si>
  <si>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</si>
  <si>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</si>
  <si>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</si>
  <si>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</si>
  <si>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</si>
  <si>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</si>
  <si>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</si>
  <si>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</si>
  <si>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</si>
  <si>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</si>
  <si>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</si>
  <si>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</si>
  <si>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</si>
  <si>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</si>
  <si>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</si>
  <si>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</si>
  <si>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</si>
  <si>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</si>
  <si>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</si>
  <si>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</si>
  <si>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</si>
  <si>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</si>
  <si>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</si>
  <si>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</si>
  <si>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</si>
  <si>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</si>
  <si>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</si>
  <si>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</si>
  <si>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</si>
  <si>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</si>
  <si>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Non-Need Based</t>
  </si>
  <si>
    <t>Need-Based</t>
  </si>
  <si>
    <t>Academics</t>
  </si>
  <si>
    <t>Alumni affiliation</t>
  </si>
  <si>
    <t>Art</t>
  </si>
  <si>
    <t>Athletics</t>
  </si>
  <si>
    <t>Job skills</t>
  </si>
  <si>
    <t>ROTC</t>
  </si>
  <si>
    <t>Leadership</t>
  </si>
  <si>
    <t>Music/drama</t>
  </si>
  <si>
    <t>Religious affiliation</t>
  </si>
  <si>
    <t>State/district residency</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</si>
  <si>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</si>
  <si>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</si>
  <si>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</si>
  <si>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</si>
  <si>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</si>
  <si>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</si>
  <si>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</si>
  <si>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</si>
  <si>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</si>
  <si>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</si>
  <si>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</si>
  <si>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</si>
  <si>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</si>
  <si>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</si>
  <si>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</si>
  <si>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</si>
  <si>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</si>
  <si>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</si>
  <si>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</si>
  <si>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</si>
  <si>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</si>
  <si>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</si>
  <si>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</si>
  <si>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</si>
  <si>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</si>
  <si>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</si>
  <si>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</si>
  <si>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</si>
  <si>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</si>
  <si>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</si>
  <si>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</si>
  <si>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</si>
  <si>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</si>
  <si>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</si>
  <si>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</si>
  <si>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</si>
  <si>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</si>
  <si>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</si>
  <si>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</si>
  <si>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</si>
  <si>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</si>
  <si>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</si>
  <si>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</si>
  <si>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</si>
  <si>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</si>
  <si>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</si>
  <si>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</si>
  <si>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</si>
  <si>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t>TwoYearCohortTransfers2YearInstitutions</t>
  </si>
  <si>
    <t>TwoYearCohortTransfers4YearInstitutions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</si>
  <si>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</si>
  <si>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</si>
  <si>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</si>
  <si>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</si>
  <si>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</si>
  <si>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</si>
  <si>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</si>
  <si>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</si>
  <si>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</si>
  <si>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</si>
  <si>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</si>
  <si>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</si>
  <si>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</si>
  <si>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</si>
  <si>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</si>
  <si>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</si>
  <si>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</si>
  <si>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</si>
  <si>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</si>
  <si>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</si>
  <si>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</si>
  <si>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</si>
  <si>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</si>
  <si>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</si>
  <si>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</si>
  <si>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</si>
  <si>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</si>
  <si>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</si>
  <si>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</si>
  <si>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</si>
  <si>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</si>
  <si>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</si>
  <si>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</si>
  <si>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</si>
  <si>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</si>
  <si>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</si>
  <si>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</si>
  <si>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</si>
  <si>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ospa@wm.edu</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</si>
  <si>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</si>
  <si>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</si>
  <si>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</si>
  <si>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</si>
  <si>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</si>
  <si>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</si>
  <si>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</si>
  <si>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</si>
  <si>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</si>
  <si>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</si>
  <si>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</si>
  <si>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t>TwoYearCohortGraduatedUnder2Years</t>
  </si>
  <si>
    <t>TwoYearCohortGraduatedUnder2Years150PercentTime</t>
  </si>
  <si>
    <t>TwoYearCohortGraduated2To4Years</t>
  </si>
  <si>
    <t>TwoYearCohortGraduated2To4Years150PercentTime</t>
  </si>
  <si>
    <t>TwoYearCohortTransfersToOtherInstitutions</t>
  </si>
  <si>
    <t>FinancialAidNeedBasedGrants</t>
  </si>
  <si>
    <t>FinancialAidNonNeedBasedGrants</t>
  </si>
  <si>
    <t>FinancialAidNoGrants</t>
  </si>
  <si>
    <t>InternationalStudentsAwardedGrants</t>
  </si>
  <si>
    <t>InternationalStudentsGrantAverage</t>
  </si>
  <si>
    <t>InternationalStudentsGrantTotal</t>
  </si>
  <si>
    <t>InternationalFinancialAidFormInstitutional</t>
  </si>
  <si>
    <t>InternationalFinancialAidFormCSSPROFILE</t>
  </si>
  <si>
    <t>InternationalFinancialAidFormInternationalApplication</t>
  </si>
  <si>
    <t>InternationalFinancialAidFormCertificationOfFinances</t>
  </si>
  <si>
    <t>InternationalFinancialAidFormOther</t>
  </si>
  <si>
    <t>FreshmanFinancialAidFormFAFSA</t>
  </si>
  <si>
    <t>FreshmanFinancialAidFormInstitution</t>
  </si>
  <si>
    <t>FreshmanFinancialAidFormCSSPROFILE</t>
  </si>
  <si>
    <t>FreshmanFinancialAidFormState</t>
  </si>
  <si>
    <t>FreshmanFinancialAidFormNoncustodialPROFILE</t>
  </si>
  <si>
    <t>FreshmanFinancialAidFormBusinessSupplement</t>
  </si>
  <si>
    <t>FreshmanFinancialAidFormOther</t>
  </si>
  <si>
    <t>PriorityFilingDate</t>
  </si>
  <si>
    <t>DeadlineFilingDate</t>
  </si>
  <si>
    <t>NoFilingDate</t>
  </si>
  <si>
    <t>FinancialAidNotificationRegularDate</t>
  </si>
  <si>
    <t>RollingNotification</t>
  </si>
  <si>
    <t>FinancialAidNotificationRollingStartDate</t>
  </si>
  <si>
    <t>FinancialAidStudentReplyByDate</t>
  </si>
  <si>
    <t>FinancialAidStudentReplyByPeriodWeeks</t>
  </si>
  <si>
    <t>AvailableAidLoansDirectSubsidizedStafford</t>
  </si>
  <si>
    <t>AvailableAidLoansDirectUnsubsidizedStafford</t>
  </si>
  <si>
    <t>AvailableAidLoansDirectPLUS</t>
  </si>
  <si>
    <t>AvailableAidLoansFFELSubsidizedStafford</t>
  </si>
  <si>
    <t>AvailableAidLoansFFELUnsubsidizedStafford</t>
  </si>
  <si>
    <t>AvailableAidLoansFFELPLUS</t>
  </si>
  <si>
    <t>AvailableAidLoansPerkins</t>
  </si>
  <si>
    <t>AvailableAidLoansFederalNursing</t>
  </si>
  <si>
    <t>AvailableAidLoansState</t>
  </si>
  <si>
    <t>AvailableAidLoansInstitutional</t>
  </si>
  <si>
    <t>AvailableAidLoansOther</t>
  </si>
  <si>
    <t>AvailableAidGrantsPell</t>
  </si>
  <si>
    <t>AvailableAidGrantsSEOG</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</si>
  <si>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</si>
  <si>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</si>
  <si>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</si>
  <si>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</si>
  <si>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</si>
  <si>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</si>
  <si>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t>ACT Composite</t>
  </si>
  <si>
    <t>ACT English</t>
  </si>
  <si>
    <t>ACT Math</t>
  </si>
  <si>
    <t>700-800</t>
  </si>
  <si>
    <t>600-699</t>
  </si>
  <si>
    <t>Admitted Applicants</t>
  </si>
  <si>
    <t>Enrolled Applicants</t>
  </si>
  <si>
    <t>Total</t>
  </si>
  <si>
    <t>Application for Admission</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</si>
  <si>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</si>
  <si>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</si>
  <si>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</si>
  <si>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</si>
  <si>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</si>
  <si>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</si>
  <si>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</si>
  <si>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</si>
  <si>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</si>
  <si>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</si>
  <si>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</si>
  <si>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</si>
  <si>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</si>
  <si>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</si>
  <si>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</si>
  <si>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</si>
  <si>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</si>
  <si>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</si>
  <si>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</si>
  <si>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</si>
  <si>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</si>
  <si>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</si>
  <si>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</si>
  <si>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</si>
  <si>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</si>
  <si>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</si>
  <si>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</si>
  <si>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</si>
  <si>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</si>
  <si>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</si>
  <si>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</si>
  <si>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</si>
  <si>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</si>
  <si>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</si>
  <si>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</si>
  <si>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</si>
  <si>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</si>
  <si>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</si>
  <si>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</si>
  <si>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</si>
  <si>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</si>
  <si>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</si>
  <si>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</si>
  <si>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</si>
  <si>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</si>
  <si>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</si>
  <si>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</si>
  <si>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</si>
  <si>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</si>
  <si>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</si>
  <si>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t>FirstProfessionalTotalPartTimeMale</t>
  </si>
  <si>
    <t>FirstProfessionalTotalPartTimeFemale</t>
  </si>
  <si>
    <t>Admissions E-mail Address: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</si>
  <si>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</si>
  <si>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</si>
  <si>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</si>
  <si>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</si>
  <si>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</si>
  <si>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</si>
  <si>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</si>
  <si>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FirstProfessionalTotalFullTimeMale</t>
  </si>
  <si>
    <t>FirstProfessionalTotalFullTimeFemale</t>
  </si>
  <si>
    <t>GradFirstTimeFullTimeMale</t>
  </si>
  <si>
    <t>GradFirstTimeFullTimeFemale</t>
  </si>
  <si>
    <t>GradFirstTimePartTimeMale</t>
  </si>
  <si>
    <t>GradFirstTimePartTimeFemale</t>
  </si>
  <si>
    <t>GradOtherFullTimeMale</t>
  </si>
  <si>
    <t>GradOtherFullTimeFemale</t>
  </si>
  <si>
    <t>GradOtherPartTimeMale</t>
  </si>
  <si>
    <t>GradOtherPartTimeFemale</t>
  </si>
  <si>
    <t>GradOtherNoDegreeFullTimeMale</t>
  </si>
  <si>
    <t>GradOtherNoDegreeFullTimeFemale</t>
  </si>
  <si>
    <t>GradOtherNoDegreePartTimeMale</t>
  </si>
  <si>
    <t>GradOtherNoDegreePartTimeFemale</t>
  </si>
  <si>
    <t>GradTotalFullTimeMale</t>
  </si>
  <si>
    <t>GradTotalFullTimeFemale</t>
  </si>
  <si>
    <t>GradTotalPartTimeMale</t>
  </si>
  <si>
    <t>GradTotalPartTimeFemale</t>
  </si>
  <si>
    <t>UndergradTotalStudents</t>
  </si>
  <si>
    <t>GradTotalStudents</t>
  </si>
  <si>
    <t>TotalStudents</t>
  </si>
  <si>
    <t>AdmissionsPhone</t>
  </si>
  <si>
    <t>GeneralPhone</t>
  </si>
  <si>
    <t>FreshmenNonresidentAlien</t>
  </si>
  <si>
    <t>UndergradDegreeSeekingNonresidentAlien</t>
  </si>
  <si>
    <t>UndergradTotalNonresidentAlien</t>
  </si>
  <si>
    <t>FreshmenBlack</t>
  </si>
  <si>
    <t>UndergradTotalBlack</t>
  </si>
  <si>
    <t>FreshmenNativeAmerican</t>
  </si>
  <si>
    <t>UndergradTotalNativeAmerican</t>
  </si>
  <si>
    <t>FreshmenAsian</t>
  </si>
  <si>
    <t>UndergradTotalAsian</t>
  </si>
  <si>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</si>
  <si>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</si>
  <si>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CDS-B</t>
  </si>
  <si>
    <t>UndergradFreshmenFullTimeMale</t>
  </si>
  <si>
    <t>ApplicationRollingAdmissionsStartDate</t>
  </si>
  <si>
    <t>ApplicationNotificationByDate</t>
  </si>
  <si>
    <t>ApplicationNotificationOther</t>
  </si>
  <si>
    <t>AdmittedReplyByDate</t>
  </si>
  <si>
    <t>AdmittedReplyByNoSetDate</t>
  </si>
  <si>
    <t>AdmittedReplyByXWeeksOfMay1</t>
  </si>
  <si>
    <t>AdmittedReplyByMay1</t>
  </si>
  <si>
    <r>
      <t xml:space="preserve">No set date:  (put </t>
    </r>
    <r>
      <rPr>
        <b/>
        <sz val="10"/>
        <color indexed="8"/>
        <rFont val="Arial"/>
        <family val="2"/>
      </rPr>
      <t>X</t>
    </r>
    <r>
      <rPr>
        <sz val="10"/>
        <color indexed="8"/>
        <rFont val="Arial"/>
        <family val="2"/>
      </rPr>
      <t xml:space="preserve"> in box)</t>
    </r>
  </si>
  <si>
    <r>
      <t xml:space="preserve">Must reply by May 1 or within _____ weeks if notified thereafter (put </t>
    </r>
    <r>
      <rPr>
        <b/>
        <sz val="10"/>
        <color indexed="8"/>
        <rFont val="Arial"/>
        <family val="2"/>
      </rPr>
      <t>X</t>
    </r>
    <r>
      <rPr>
        <sz val="10"/>
        <color indexed="8"/>
        <rFont val="Arial"/>
        <family val="2"/>
      </rPr>
      <t xml:space="preserve"> in first box and </t>
    </r>
    <r>
      <rPr>
        <b/>
        <sz val="10"/>
        <color indexed="8"/>
        <rFont val="Arial"/>
        <family val="2"/>
      </rPr>
      <t>weeks</t>
    </r>
    <r>
      <rPr>
        <sz val="10"/>
        <color indexed="8"/>
        <rFont val="Arial"/>
        <family val="2"/>
      </rPr>
      <t xml:space="preserve"> in 2nd box)</t>
    </r>
  </si>
  <si>
    <t>AdmittedReplyByOther</t>
  </si>
  <si>
    <t>HousingDepositDeadlineDate</t>
  </si>
  <si>
    <t>HousingDepositAmount</t>
  </si>
  <si>
    <t>HousingDepositRefundable</t>
  </si>
  <si>
    <t>MayPostponeEnrollment</t>
  </si>
  <si>
    <t>PostponeEnrollmentMaxPeriod</t>
  </si>
  <si>
    <t>EarlyAdmissionOfHighSchoolStudents</t>
  </si>
  <si>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</si>
  <si>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</si>
  <si>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</si>
  <si>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</si>
  <si>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t>Susan Boles</t>
  </si>
  <si>
    <t>Research Analyst</t>
  </si>
  <si>
    <t>109 Cary Street, Bell Hall</t>
  </si>
  <si>
    <t>Williamsburg</t>
  </si>
  <si>
    <t>Virginia</t>
  </si>
  <si>
    <t>23187-8795</t>
  </si>
  <si>
    <t>USA</t>
  </si>
  <si>
    <t>757-221-2081</t>
  </si>
  <si>
    <t>757-221-2080</t>
  </si>
  <si>
    <t>X</t>
  </si>
  <si>
    <t>http://www.wm.edu/ir/CDS/cds.html</t>
  </si>
  <si>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</si>
  <si>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</si>
  <si>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</si>
  <si>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</si>
  <si>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</si>
  <si>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</si>
  <si>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</si>
  <si>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</si>
  <si>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First professional certificates</t>
  </si>
  <si>
    <t>Graduation Rates</t>
  </si>
  <si>
    <t>Retention Rates</t>
  </si>
  <si>
    <t>B12</t>
  </si>
  <si>
    <t>UndergradDegreeSeekingWhite</t>
  </si>
  <si>
    <t>UndergradDegreeSeekingRaceUnknown</t>
  </si>
  <si>
    <t>UndergradTotalDegreeSeeking</t>
  </si>
  <si>
    <t>FreshmenTotal</t>
  </si>
  <si>
    <t>DegreesAwardedCertificateDiploma</t>
  </si>
  <si>
    <t>DegreesAwardedAssociates</t>
  </si>
  <si>
    <t>DegreesAwardedBachelors</t>
  </si>
  <si>
    <t>DegreesAwardedPostBachelorsCertificates</t>
  </si>
  <si>
    <t>DegreesAwardedMasters</t>
  </si>
  <si>
    <t>DegreesAwardedPostMasters</t>
  </si>
  <si>
    <t>DegreesAwardedDoctoral</t>
  </si>
  <si>
    <t>DegreesAwardedFirstProfessionalDegrees</t>
  </si>
  <si>
    <t>DegreesAwardedFirstProfessionalCertificates</t>
  </si>
  <si>
    <t>FourYearCohortInitial</t>
  </si>
  <si>
    <t>FourYearCohortExclusions</t>
  </si>
  <si>
    <t>FourYearCohortFinal</t>
  </si>
  <si>
    <t>OnlineApplicationURL</t>
  </si>
  <si>
    <t>FourYearCohortGraduatedIn4Years</t>
  </si>
  <si>
    <t>FourYearCohortGraduatedIn4To5Years</t>
  </si>
  <si>
    <t>FourYearCohortGraduatedIn5To6Years</t>
  </si>
  <si>
    <t>FourYearCohortGraduatedIn6YearsTotal</t>
  </si>
  <si>
    <t>FourYearCohortGraduationRate</t>
  </si>
  <si>
    <t>TwoYearCohortInitial</t>
  </si>
  <si>
    <t>TwoYearCohortExclusions</t>
  </si>
  <si>
    <t>TwoYearCohortFinal</t>
  </si>
  <si>
    <r>
      <t xml:space="preserve">Double major: </t>
    </r>
    <r>
      <rPr>
        <sz val="10"/>
        <color indexed="8"/>
        <rFont val="Arial"/>
        <family val="2"/>
      </rPr>
      <t>Program in which students may complete two undergraduate programs of study simultaneously.</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</si>
  <si>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</si>
  <si>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</si>
  <si>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</si>
  <si>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</si>
  <si>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</si>
  <si>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</si>
  <si>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</si>
  <si>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</si>
  <si>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</si>
  <si>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</si>
  <si>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</si>
  <si>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</si>
  <si>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</si>
  <si>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</si>
  <si>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</si>
  <si>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</si>
  <si>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</si>
  <si>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</si>
  <si>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</si>
  <si>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</si>
  <si>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</si>
  <si>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</si>
  <si>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</si>
  <si>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</si>
  <si>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</si>
  <si>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</si>
  <si>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</si>
  <si>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</si>
  <si>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</si>
  <si>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</si>
  <si>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Campus Ministries</t>
  </si>
  <si>
    <t>International Student Organization</t>
  </si>
  <si>
    <t>Model UN</t>
  </si>
  <si>
    <t>ActivitiesOfferedCampusMinistries</t>
  </si>
  <si>
    <t>ActivitiesOfferedInternationalStudentOrg</t>
  </si>
  <si>
    <t>ActivitiesOfferedModelUN</t>
  </si>
  <si>
    <t>Computer Science</t>
  </si>
  <si>
    <t>Visual/Performing Arts</t>
  </si>
  <si>
    <t>RequiredUnitsComputerScience</t>
  </si>
  <si>
    <t>RecommendedUnitsComputerScience</t>
  </si>
  <si>
    <t>RequiredUnitsArts</t>
  </si>
  <si>
    <t>RecommendedUnitsArts</t>
  </si>
  <si>
    <t>Room and board total  (if your college cannot provide separate room and board figures for commuters not living at home):</t>
  </si>
  <si>
    <t>ExpensesRoomAndBoardNonHomeCommuters</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</si>
  <si>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</si>
  <si>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ClassSizeSectionSize20_29</t>
  </si>
  <si>
    <t>ClassSizeSubsectionSize20_29</t>
  </si>
  <si>
    <t>ClassSizeSectionSize30_39</t>
  </si>
  <si>
    <t>ClassSizeSubsectionSize30_39</t>
  </si>
  <si>
    <t>ClassSizeSectionSize40_49</t>
  </si>
  <si>
    <t>ClassSizeSubsectionSize40_49</t>
  </si>
  <si>
    <t>ClassSizeSectionSize50_99</t>
  </si>
  <si>
    <t>ClassSizeSectionSize100Plus</t>
  </si>
  <si>
    <t>ClassSizeSubsectionSize100Plus</t>
  </si>
  <si>
    <t>ClassSizeSubsectionSize50_59</t>
  </si>
  <si>
    <t>CDS-J</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</si>
  <si>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</si>
  <si>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</si>
  <si>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</si>
  <si>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</si>
  <si>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</si>
  <si>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</si>
  <si>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</si>
  <si>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</si>
  <si>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</si>
  <si>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</si>
  <si>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</si>
  <si>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RequiredUnitsTotal</t>
  </si>
  <si>
    <t>RecommendedUnitsTotal</t>
  </si>
  <si>
    <t>RequiredUnitsEnglish</t>
  </si>
  <si>
    <t>Specify other academic units:</t>
  </si>
  <si>
    <t>OtherUnits</t>
  </si>
  <si>
    <t>RecommendedUnitsEnglish</t>
  </si>
  <si>
    <t>RequiredUnitsMath</t>
  </si>
  <si>
    <t>RecommendedUnitsMath</t>
  </si>
  <si>
    <t>RequiredUnitsScience</t>
  </si>
  <si>
    <t>RecommendedUnitsScience</t>
  </si>
  <si>
    <t>RequiredUnitsScienceLab</t>
  </si>
  <si>
    <t>RecommendedUnitsScienceLab</t>
  </si>
  <si>
    <t>RequiredUnitsForeignLanguage</t>
  </si>
  <si>
    <t>RecommendedUnitsForeignLanguage</t>
  </si>
  <si>
    <t>RequiredUnitsSocialStudies</t>
  </si>
  <si>
    <t>RecommendedUnitsSocialStudies</t>
  </si>
  <si>
    <t>RequiredUnitsHistory</t>
  </si>
  <si>
    <t>RecommendedUnitsHistory</t>
  </si>
  <si>
    <t>RequiredUnitsElectives</t>
  </si>
  <si>
    <t>RecommendedUnitsElectives</t>
  </si>
  <si>
    <t>RequiredUnitsOther</t>
  </si>
  <si>
    <t>RecommendedUnitsOther</t>
  </si>
  <si>
    <t>OpenAdmissions</t>
  </si>
  <si>
    <t>OpenButSelectiveForOutOfState</t>
  </si>
  <si>
    <t>OpenButSelectiveForSomePrograms</t>
  </si>
  <si>
    <t>OpenButOtherSelectionCriteria</t>
  </si>
  <si>
    <t>AdmissionSelectionAcademicClassRank</t>
  </si>
  <si>
    <t>AdmissionSelectionAcademicGPA</t>
  </si>
  <si>
    <t>AdmissionSelectionAcademicStandardizedTestScores</t>
  </si>
  <si>
    <t>AdmissionSelectionAcademicApplicationEssay</t>
  </si>
  <si>
    <t>AdmissionSelectionAcademicRecommendations</t>
  </si>
  <si>
    <t>AdmissionSelectionNonAcademicInterview</t>
  </si>
  <si>
    <t>AdmissionSelectionNonAcademicExtracurrics</t>
  </si>
  <si>
    <t>AdmissionSelectionNonAcademicTalent</t>
  </si>
  <si>
    <t>AdmissionSelectionNonAcademicCharacter</t>
  </si>
  <si>
    <t>AdmissionSelectionNonAcademicFirstGeneration</t>
  </si>
  <si>
    <t>AdmissionSelectionNonAcademicAlumni</t>
  </si>
  <si>
    <t>AdmissionSelectionNonAcademicGeographicalResidence</t>
  </si>
  <si>
    <t>AdmissionSelectionNonAcademicStateResidence</t>
  </si>
  <si>
    <t>AdmissionSelectionNonAcademicReligion</t>
  </si>
  <si>
    <t>AdmissionSelectionNonAcademicRaceEthnicity</t>
  </si>
  <si>
    <t>500-599</t>
  </si>
  <si>
    <t>400-499</t>
  </si>
  <si>
    <t>300-399</t>
  </si>
  <si>
    <t>200-299</t>
  </si>
  <si>
    <t>30-36</t>
  </si>
  <si>
    <t>24-29</t>
  </si>
  <si>
    <t>18-23</t>
  </si>
  <si>
    <t>12-17</t>
  </si>
  <si>
    <t>6-11</t>
  </si>
  <si>
    <t>Below 6</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</si>
  <si>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</si>
  <si>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</si>
  <si>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</si>
  <si>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</si>
  <si>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</si>
  <si>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</si>
  <si>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t>2007-2008 CDS</t>
  </si>
  <si>
    <t>UndergradPartTimeAwardedNeedBasedSelfHelp</t>
  </si>
  <si>
    <t>FreshmanFullTimeAwardedNonNeedBasedGrant</t>
  </si>
  <si>
    <t>UndergradFullTimeAwardedNonNeedBasedGrant</t>
  </si>
  <si>
    <t>UndergradPartTimeAwardedNonNeedBasedGrant</t>
  </si>
  <si>
    <t>FreshmanFullTimeNeedFullyMet</t>
  </si>
  <si>
    <t>ContactAddress1</t>
  </si>
  <si>
    <t>ContactAddress2</t>
  </si>
  <si>
    <r>
      <t xml:space="preserve">If yes, place check marks in the appropriate boxes below to reflect your institution’s policies for use in admission for </t>
    </r>
    <r>
      <rPr>
        <b/>
        <sz val="10"/>
        <rFont val="Arial"/>
        <family val="2"/>
      </rPr>
      <t>Fall 2009</t>
    </r>
    <r>
      <rPr>
        <sz val="10"/>
        <rFont val="Arial"/>
        <family val="2"/>
      </rPr>
      <t>.</t>
    </r>
  </si>
  <si>
    <t>If yes, please answer the questions below for fall 2007 admissions:</t>
  </si>
  <si>
    <t>For the Fall 2007 entering class:</t>
  </si>
  <si>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</si>
  <si>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</si>
  <si>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</si>
  <si>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</si>
  <si>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</si>
  <si>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</si>
  <si>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</si>
  <si>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</si>
  <si>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</si>
  <si>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</si>
  <si>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</si>
  <si>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</si>
  <si>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</si>
  <si>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</si>
  <si>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</si>
  <si>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</si>
  <si>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</si>
  <si>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</si>
  <si>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</si>
  <si>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Of the initial 2001 cohort, how many completed the program in four years or less (by August 31, 2005): </t>
  </si>
  <si>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</si>
  <si>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</si>
  <si>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</si>
  <si>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</si>
  <si>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</si>
  <si>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t>GPAPercent1To1_99</t>
  </si>
  <si>
    <t>GPAPercent0To0_99</t>
  </si>
  <si>
    <t>GPAPercentTotal</t>
  </si>
  <si>
    <t>AverageFreshmanGPA</t>
  </si>
  <si>
    <t>PercentFreshmenSubmittedGPA</t>
  </si>
  <si>
    <t>ApplicationFee</t>
  </si>
  <si>
    <t>ApplicationFeeValue</t>
  </si>
  <si>
    <t>ApplicationFeeWaiver</t>
  </si>
  <si>
    <t>OnlineApplicationFee</t>
  </si>
  <si>
    <t>OnlineApplicationFeeWaiver</t>
  </si>
  <si>
    <t>ApplicationDeadline</t>
  </si>
  <si>
    <t>ApplicationClosingDateFall</t>
  </si>
  <si>
    <t>ApplicationPriorityDateFall</t>
  </si>
  <si>
    <r>
      <t xml:space="preserve">Undergraduate: </t>
    </r>
    <r>
      <rPr>
        <sz val="10"/>
        <color indexed="8"/>
        <rFont val="Arial"/>
        <family val="2"/>
      </rPr>
      <t>A student enrolled in a four- or five-year bachelor’s degree program, an associate degree program, or a vocational or technical program below the baccalaureate.</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</si>
</sst>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409]dddd\,\ mmmm\ dd\,\ yyyy"/>
    <numFmt numFmtId="184" formatCode="m/d/yyyy;@"/>
    <numFmt numFmtId="185" formatCode="mm/dd/yy;@"/>
    <numFmt numFmtId="186" formatCode="0.0"/>
    <numFmt numFmtId="187" formatCode="mm/dd"/>
    <numFmt numFmtId="188" formatCode="m/d/yy;@"/>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b/>
      <sz val="10"/>
      <color indexed="12"/>
      <name val="Arial"/>
      <family val="2"/>
    </font>
    <font>
      <b/>
      <sz val="10"/>
      <color indexed="9"/>
      <name val="Arial"/>
      <family val="2"/>
    </font>
    <font>
      <sz val="10"/>
      <color indexed="9"/>
      <name val="Arial"/>
      <family val="2"/>
    </font>
    <font>
      <sz val="7"/>
      <color indexed="8"/>
      <name val="Times New Roman"/>
      <family val="1"/>
    </font>
    <font>
      <sz val="10"/>
      <color indexed="8"/>
      <name val="Wingdings"/>
      <family val="0"/>
    </font>
    <font>
      <b/>
      <sz val="18"/>
      <name val="Georg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9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14" fontId="0" fillId="0" borderId="13"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3"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3" xfId="0" applyBorder="1" applyAlignment="1">
      <alignment/>
    </xf>
    <xf numFmtId="0" fontId="0" fillId="0" borderId="14" xfId="0" applyBorder="1" applyAlignment="1">
      <alignment vertical="center"/>
    </xf>
    <xf numFmtId="0" fontId="5" fillId="0" borderId="0" xfId="0" applyFont="1" applyAlignment="1">
      <alignment horizontal="left" vertical="top"/>
    </xf>
    <xf numFmtId="0" fontId="0" fillId="0" borderId="15" xfId="0" applyBorder="1" applyAlignment="1">
      <alignment/>
    </xf>
    <xf numFmtId="0" fontId="0" fillId="0" borderId="14"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4" xfId="0" applyFont="1" applyFill="1" applyBorder="1" applyAlignment="1">
      <alignment vertical="center"/>
    </xf>
    <xf numFmtId="0" fontId="7" fillId="34" borderId="16" xfId="0" applyFont="1" applyFill="1" applyBorder="1" applyAlignment="1">
      <alignment vertical="center"/>
    </xf>
    <xf numFmtId="0" fontId="7" fillId="34" borderId="13"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7" xfId="0" applyFont="1" applyBorder="1" applyAlignment="1">
      <alignment/>
    </xf>
    <xf numFmtId="0" fontId="0" fillId="0" borderId="18" xfId="0" applyBorder="1" applyAlignment="1">
      <alignment/>
    </xf>
    <xf numFmtId="0" fontId="0" fillId="0" borderId="11"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3" xfId="0" applyNumberFormat="1" applyBorder="1" applyAlignment="1" quotePrefix="1">
      <alignment horizontal="center" vertical="center"/>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2" fillId="0" borderId="10" xfId="42" applyNumberFormat="1" applyFont="1" applyBorder="1" applyAlignment="1">
      <alignment horizontal="right"/>
    </xf>
    <xf numFmtId="0" fontId="3" fillId="33"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5"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4" xfId="0" applyFill="1" applyBorder="1" applyAlignment="1">
      <alignment horizontal="left" vertical="top" wrapText="1"/>
    </xf>
    <xf numFmtId="174" fontId="0" fillId="33" borderId="16" xfId="44" applyNumberFormat="1" applyFont="1" applyFill="1" applyBorder="1" applyAlignment="1">
      <alignment horizontal="right"/>
    </xf>
    <xf numFmtId="174" fontId="0" fillId="33" borderId="13" xfId="44" applyNumberFormat="1" applyFont="1" applyFill="1" applyBorder="1" applyAlignment="1">
      <alignment horizontal="right"/>
    </xf>
    <xf numFmtId="174" fontId="0" fillId="0" borderId="0" xfId="0" applyNumberFormat="1" applyBorder="1" applyAlignment="1">
      <alignment horizontal="right"/>
    </xf>
    <xf numFmtId="0" fontId="18" fillId="0" borderId="14" xfId="0" applyFont="1" applyBorder="1" applyAlignment="1">
      <alignment vertical="top"/>
    </xf>
    <xf numFmtId="0" fontId="18" fillId="0" borderId="13" xfId="0" applyFont="1" applyBorder="1" applyAlignment="1">
      <alignment vertical="top" wrapText="1"/>
    </xf>
    <xf numFmtId="0" fontId="18" fillId="0" borderId="14" xfId="0" applyFont="1" applyBorder="1" applyAlignment="1">
      <alignment vertical="center"/>
    </xf>
    <xf numFmtId="0" fontId="18" fillId="0" borderId="13" xfId="0" applyFont="1" applyBorder="1" applyAlignment="1">
      <alignment vertical="center" wrapText="1"/>
    </xf>
    <xf numFmtId="0" fontId="0" fillId="33" borderId="10" xfId="0" applyFill="1" applyBorder="1" applyAlignment="1">
      <alignment horizontal="center"/>
    </xf>
    <xf numFmtId="0" fontId="0" fillId="0" borderId="0" xfId="0" applyAlignment="1">
      <alignment wrapText="1"/>
    </xf>
    <xf numFmtId="0" fontId="18" fillId="33" borderId="14" xfId="0" applyFont="1" applyFill="1" applyBorder="1" applyAlignment="1">
      <alignment/>
    </xf>
    <xf numFmtId="0" fontId="18" fillId="33" borderId="13"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5"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19" xfId="0" applyBorder="1" applyAlignment="1">
      <alignment/>
    </xf>
    <xf numFmtId="0" fontId="0" fillId="0" borderId="0" xfId="0" applyBorder="1" applyAlignment="1">
      <alignment horizontal="left" vertical="top"/>
    </xf>
    <xf numFmtId="0" fontId="0" fillId="0" borderId="16" xfId="0" applyBorder="1" applyAlignment="1">
      <alignment horizontal="left" vertical="top"/>
    </xf>
    <xf numFmtId="49" fontId="0" fillId="0" borderId="16" xfId="0" applyNumberFormat="1" applyBorder="1" applyAlignment="1">
      <alignment horizontal="center" vertical="center"/>
    </xf>
    <xf numFmtId="0" fontId="18" fillId="0" borderId="10" xfId="0" applyFont="1" applyBorder="1" applyAlignment="1">
      <alignment horizontal="center"/>
    </xf>
    <xf numFmtId="180" fontId="0" fillId="0" borderId="14" xfId="0" applyNumberFormat="1" applyBorder="1" applyAlignment="1">
      <alignment vertical="center"/>
    </xf>
    <xf numFmtId="180" fontId="0" fillId="0" borderId="14"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4" xfId="0" applyFill="1" applyBorder="1" applyAlignment="1">
      <alignment/>
    </xf>
    <xf numFmtId="0" fontId="1" fillId="33" borderId="20" xfId="0" applyFont="1" applyFill="1" applyBorder="1" applyAlignment="1">
      <alignment horizontal="center" vertical="center" wrapText="1"/>
    </xf>
    <xf numFmtId="0" fontId="14" fillId="0" borderId="20" xfId="0" applyFont="1" applyBorder="1" applyAlignment="1">
      <alignment horizontal="left" vertical="top" wrapText="1"/>
    </xf>
    <xf numFmtId="0" fontId="9" fillId="0" borderId="20" xfId="0" applyFont="1" applyBorder="1" applyAlignment="1">
      <alignment horizontal="left" vertical="top" wrapText="1"/>
    </xf>
    <xf numFmtId="0" fontId="0" fillId="0" borderId="20" xfId="0" applyFont="1" applyBorder="1" applyAlignment="1">
      <alignment horizontal="left" vertical="top" wrapText="1"/>
    </xf>
    <xf numFmtId="0" fontId="17" fillId="0" borderId="20" xfId="0" applyFont="1" applyBorder="1" applyAlignment="1">
      <alignment horizontal="left" vertical="top" wrapText="1"/>
    </xf>
    <xf numFmtId="0" fontId="2" fillId="0" borderId="20" xfId="0" applyFont="1" applyBorder="1" applyAlignment="1">
      <alignment horizontal="center" vertical="top" wrapText="1"/>
    </xf>
    <xf numFmtId="0" fontId="0" fillId="0" borderId="20"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3"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3" xfId="0" applyBorder="1" applyAlignment="1">
      <alignment horizontal="center"/>
    </xf>
    <xf numFmtId="0" fontId="0" fillId="0" borderId="21" xfId="0" applyBorder="1" applyAlignment="1">
      <alignment horizontal="left" vertical="top" wrapText="1"/>
    </xf>
    <xf numFmtId="0" fontId="2" fillId="0" borderId="0" xfId="0" applyFont="1" applyBorder="1" applyAlignment="1">
      <alignment/>
    </xf>
    <xf numFmtId="0" fontId="0" fillId="0" borderId="14" xfId="0" applyBorder="1" applyAlignment="1">
      <alignment/>
    </xf>
    <xf numFmtId="0" fontId="0" fillId="0" borderId="17" xfId="0" applyFont="1" applyBorder="1" applyAlignment="1">
      <alignment/>
    </xf>
    <xf numFmtId="0" fontId="0" fillId="0" borderId="22"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30" fillId="0" borderId="0" xfId="0" applyFont="1" applyAlignment="1">
      <alignment/>
    </xf>
    <xf numFmtId="0" fontId="2" fillId="0" borderId="0" xfId="0" applyFont="1" applyFill="1" applyAlignment="1">
      <alignment horizontal="left" vertical="top"/>
    </xf>
    <xf numFmtId="0" fontId="0" fillId="0" borderId="14"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6"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3" xfId="0" applyFont="1" applyBorder="1" applyAlignment="1">
      <alignment vertical="top" wrapText="1"/>
    </xf>
    <xf numFmtId="0" fontId="13" fillId="0" borderId="24" xfId="0" applyFont="1" applyBorder="1" applyAlignment="1">
      <alignment horizontal="center" vertical="top" wrapText="1"/>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25"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5" xfId="0" applyFont="1" applyFill="1" applyBorder="1" applyAlignment="1">
      <alignment/>
    </xf>
    <xf numFmtId="0" fontId="0" fillId="0" borderId="27" xfId="0" applyFill="1" applyBorder="1" applyAlignment="1">
      <alignment/>
    </xf>
    <xf numFmtId="0" fontId="0" fillId="0" borderId="10" xfId="0" applyFill="1" applyBorder="1" applyAlignment="1">
      <alignment horizontal="center" vertical="center"/>
    </xf>
    <xf numFmtId="0" fontId="0" fillId="35" borderId="0" xfId="0" applyFont="1" applyFill="1" applyAlignment="1">
      <alignment/>
    </xf>
    <xf numFmtId="0" fontId="13" fillId="0" borderId="0" xfId="0" applyFont="1" applyAlignment="1">
      <alignment horizontal="left" wrapText="1"/>
    </xf>
    <xf numFmtId="0" fontId="0" fillId="35" borderId="10" xfId="0" applyFill="1" applyBorder="1" applyAlignment="1">
      <alignment/>
    </xf>
    <xf numFmtId="0" fontId="0" fillId="35" borderId="10" xfId="0" applyFont="1" applyFill="1" applyBorder="1" applyAlignment="1">
      <alignment horizontal="center" wrapText="1"/>
    </xf>
    <xf numFmtId="0" fontId="0" fillId="35" borderId="10" xfId="0" applyFont="1" applyFill="1" applyBorder="1" applyAlignment="1">
      <alignment horizontal="center"/>
    </xf>
    <xf numFmtId="0" fontId="5" fillId="0" borderId="0" xfId="0" applyFont="1" applyFill="1" applyAlignment="1">
      <alignment vertical="top" wrapText="1"/>
    </xf>
    <xf numFmtId="0" fontId="13" fillId="0" borderId="25" xfId="0" applyFont="1" applyFill="1" applyBorder="1" applyAlignment="1">
      <alignment vertical="top" wrapText="1"/>
    </xf>
    <xf numFmtId="0" fontId="2" fillId="0" borderId="20" xfId="0" applyFont="1" applyFill="1" applyBorder="1" applyAlignment="1">
      <alignment horizontal="left" vertical="top" wrapText="1"/>
    </xf>
    <xf numFmtId="0" fontId="14" fillId="35" borderId="0" xfId="0" applyFont="1" applyFill="1" applyAlignment="1">
      <alignment wrapText="1"/>
    </xf>
    <xf numFmtId="49" fontId="0" fillId="0" borderId="0" xfId="0" applyNumberFormat="1" applyFill="1" applyBorder="1" applyAlignment="1">
      <alignment horizontal="center" vertical="center"/>
    </xf>
    <xf numFmtId="0" fontId="0" fillId="0" borderId="0" xfId="0" applyAlignment="1">
      <alignment horizontal="center"/>
    </xf>
    <xf numFmtId="182" fontId="0" fillId="0" borderId="0" xfId="0" applyNumberFormat="1" applyAlignment="1">
      <alignment horizontal="center"/>
    </xf>
    <xf numFmtId="0" fontId="0" fillId="0" borderId="0" xfId="0" applyBorder="1" applyAlignment="1">
      <alignment vertical="center"/>
    </xf>
    <xf numFmtId="49" fontId="2" fillId="36" borderId="10" xfId="0" applyNumberFormat="1" applyFont="1" applyFill="1" applyBorder="1" applyAlignment="1">
      <alignment horizontal="center" vertical="center"/>
    </xf>
    <xf numFmtId="0" fontId="2" fillId="36" borderId="27" xfId="0" applyFont="1" applyFill="1" applyBorder="1" applyAlignment="1">
      <alignment/>
    </xf>
    <xf numFmtId="0" fontId="2" fillId="36" borderId="10" xfId="0" applyFont="1" applyFill="1" applyBorder="1" applyAlignment="1">
      <alignment horizontal="center" vertical="center" wrapText="1"/>
    </xf>
    <xf numFmtId="0" fontId="2" fillId="36" borderId="10" xfId="0" applyFont="1" applyFill="1" applyBorder="1" applyAlignment="1">
      <alignment horizontal="center" wrapText="1"/>
    </xf>
    <xf numFmtId="0" fontId="14" fillId="36" borderId="10" xfId="0" applyFont="1" applyFill="1" applyBorder="1" applyAlignment="1">
      <alignment horizontal="center" vertical="top" wrapText="1"/>
    </xf>
    <xf numFmtId="0" fontId="0" fillId="0" borderId="16" xfId="0" applyFont="1" applyBorder="1" applyAlignment="1">
      <alignment horizontal="left" vertical="top" wrapText="1"/>
    </xf>
    <xf numFmtId="0" fontId="2" fillId="36" borderId="10" xfId="0" applyFont="1" applyFill="1" applyBorder="1" applyAlignment="1">
      <alignment horizontal="center" vertical="top" wrapText="1"/>
    </xf>
    <xf numFmtId="0" fontId="9" fillId="0" borderId="14" xfId="0" applyFont="1" applyFill="1" applyBorder="1" applyAlignment="1">
      <alignment vertical="top" wrapText="1"/>
    </xf>
    <xf numFmtId="0" fontId="0" fillId="0" borderId="14" xfId="0" applyFill="1" applyBorder="1" applyAlignment="1">
      <alignment horizontal="left" vertical="top" wrapText="1"/>
    </xf>
    <xf numFmtId="0" fontId="2" fillId="36" borderId="10" xfId="0" applyFont="1" applyFill="1" applyBorder="1" applyAlignment="1">
      <alignment horizontal="center"/>
    </xf>
    <xf numFmtId="9" fontId="2" fillId="36" borderId="10" xfId="0" applyNumberFormat="1" applyFont="1" applyFill="1" applyBorder="1" applyAlignment="1">
      <alignment horizontal="center" vertical="center" wrapText="1"/>
    </xf>
    <xf numFmtId="2" fontId="0" fillId="0" borderId="0" xfId="0" applyNumberFormat="1" applyAlignment="1">
      <alignment horizontal="center"/>
    </xf>
    <xf numFmtId="1" fontId="0" fillId="0" borderId="0" xfId="0" applyNumberFormat="1" applyAlignment="1">
      <alignment horizontal="center"/>
    </xf>
    <xf numFmtId="9" fontId="2" fillId="36" borderId="10" xfId="0" applyNumberFormat="1" applyFont="1" applyFill="1" applyBorder="1" applyAlignment="1">
      <alignment horizontal="center"/>
    </xf>
    <xf numFmtId="9" fontId="2" fillId="0" borderId="10" xfId="0" applyNumberFormat="1" applyFont="1" applyFill="1" applyBorder="1" applyAlignment="1">
      <alignment horizontal="center"/>
    </xf>
    <xf numFmtId="0" fontId="0" fillId="0" borderId="14" xfId="0" applyFont="1" applyBorder="1" applyAlignment="1">
      <alignment horizontal="left" vertical="top" wrapText="1"/>
    </xf>
    <xf numFmtId="10" fontId="2" fillId="36" borderId="10" xfId="0" applyNumberFormat="1" applyFont="1" applyFill="1" applyBorder="1" applyAlignment="1">
      <alignment horizontal="center"/>
    </xf>
    <xf numFmtId="10" fontId="2" fillId="0" borderId="12" xfId="0" applyNumberFormat="1" applyFont="1" applyBorder="1" applyAlignment="1">
      <alignment horizontal="center"/>
    </xf>
    <xf numFmtId="2" fontId="2" fillId="36" borderId="19" xfId="0" applyNumberFormat="1" applyFont="1" applyFill="1" applyBorder="1" applyAlignment="1">
      <alignment horizontal="center"/>
    </xf>
    <xf numFmtId="0" fontId="2" fillId="36" borderId="10" xfId="0" applyFont="1" applyFill="1" applyBorder="1" applyAlignment="1">
      <alignment horizontal="center" vertical="center"/>
    </xf>
    <xf numFmtId="170" fontId="2" fillId="36" borderId="10" xfId="0" applyNumberFormat="1" applyFont="1" applyFill="1" applyBorder="1" applyAlignment="1">
      <alignment horizontal="center"/>
    </xf>
    <xf numFmtId="171" fontId="0" fillId="0" borderId="0" xfId="0" applyNumberFormat="1" applyAlignment="1">
      <alignment horizontal="center"/>
    </xf>
    <xf numFmtId="171" fontId="2" fillId="36" borderId="10" xfId="0" applyNumberFormat="1" applyFont="1" applyFill="1" applyBorder="1" applyAlignment="1">
      <alignment horizontal="center" vertical="top"/>
    </xf>
    <xf numFmtId="49" fontId="0" fillId="0" borderId="0" xfId="0" applyNumberFormat="1" applyAlignment="1">
      <alignment horizontal="center"/>
    </xf>
    <xf numFmtId="1" fontId="2" fillId="36" borderId="10" xfId="0" applyNumberFormat="1" applyFont="1" applyFill="1" applyBorder="1" applyAlignment="1">
      <alignment horizontal="center"/>
    </xf>
    <xf numFmtId="1" fontId="2" fillId="36" borderId="10" xfId="0" applyNumberFormat="1" applyFont="1" applyFill="1" applyBorder="1" applyAlignment="1">
      <alignment horizontal="center" vertical="top"/>
    </xf>
    <xf numFmtId="37" fontId="2" fillId="36" borderId="10" xfId="42" applyNumberFormat="1" applyFont="1" applyFill="1" applyBorder="1" applyAlignment="1">
      <alignment horizontal="center" vertical="center"/>
    </xf>
    <xf numFmtId="0" fontId="0" fillId="0" borderId="0" xfId="0" applyBorder="1" applyAlignment="1">
      <alignment horizontal="center" wrapText="1"/>
    </xf>
    <xf numFmtId="2" fontId="2" fillId="36" borderId="10" xfId="0" applyNumberFormat="1" applyFont="1" applyFill="1" applyBorder="1" applyAlignment="1">
      <alignment horizontal="center" vertical="center" wrapText="1"/>
    </xf>
    <xf numFmtId="171" fontId="2" fillId="36" borderId="10" xfId="0" applyNumberFormat="1" applyFont="1" applyFill="1" applyBorder="1" applyAlignment="1">
      <alignment horizontal="center"/>
    </xf>
    <xf numFmtId="49" fontId="2" fillId="36" borderId="10" xfId="0" applyNumberFormat="1" applyFont="1" applyFill="1" applyBorder="1" applyAlignment="1">
      <alignment horizontal="center"/>
    </xf>
    <xf numFmtId="9" fontId="2" fillId="36" borderId="10" xfId="0" applyNumberFormat="1" applyFont="1" applyFill="1" applyBorder="1" applyAlignment="1">
      <alignment horizontal="center" wrapText="1"/>
    </xf>
    <xf numFmtId="9" fontId="2" fillId="36" borderId="10" xfId="59" applyNumberFormat="1" applyFont="1" applyFill="1" applyBorder="1" applyAlignment="1">
      <alignment horizontal="center"/>
    </xf>
    <xf numFmtId="186" fontId="2" fillId="36" borderId="10" xfId="0" applyNumberFormat="1" applyFont="1" applyFill="1" applyBorder="1" applyAlignment="1">
      <alignment horizontal="center"/>
    </xf>
    <xf numFmtId="186" fontId="0" fillId="0" borderId="0" xfId="0" applyNumberFormat="1" applyAlignment="1">
      <alignment horizontal="center"/>
    </xf>
    <xf numFmtId="49" fontId="0" fillId="0" borderId="18" xfId="0" applyNumberFormat="1" applyBorder="1" applyAlignment="1">
      <alignment horizontal="center" vertical="center"/>
    </xf>
    <xf numFmtId="188" fontId="0" fillId="0" borderId="0" xfId="0" applyNumberFormat="1" applyAlignment="1">
      <alignment horizontal="center"/>
    </xf>
    <xf numFmtId="14" fontId="2" fillId="36" borderId="11" xfId="0" applyNumberFormat="1" applyFont="1" applyFill="1" applyBorder="1" applyAlignment="1">
      <alignment horizontal="center" vertical="top" wrapText="1"/>
    </xf>
    <xf numFmtId="174" fontId="2" fillId="36" borderId="10" xfId="44" applyNumberFormat="1" applyFont="1" applyFill="1" applyBorder="1" applyAlignment="1">
      <alignment horizontal="center" vertical="center"/>
    </xf>
    <xf numFmtId="1" fontId="2" fillId="36" borderId="10" xfId="0" applyNumberFormat="1" applyFont="1" applyFill="1" applyBorder="1" applyAlignment="1">
      <alignment horizontal="center" vertical="center"/>
    </xf>
    <xf numFmtId="49" fontId="2" fillId="36" borderId="10" xfId="0" applyNumberFormat="1" applyFont="1" applyFill="1" applyBorder="1" applyAlignment="1">
      <alignment horizontal="center" vertical="center" wrapText="1"/>
    </xf>
    <xf numFmtId="175" fontId="2" fillId="0" borderId="10" xfId="0" applyNumberFormat="1" applyFont="1" applyBorder="1" applyAlignment="1">
      <alignment horizontal="center"/>
    </xf>
    <xf numFmtId="9" fontId="2" fillId="36" borderId="10" xfId="59" applyNumberFormat="1" applyFont="1" applyFill="1" applyBorder="1" applyAlignment="1">
      <alignment horizontal="center" vertical="center"/>
    </xf>
    <xf numFmtId="37" fontId="2" fillId="36" borderId="10" xfId="42" applyNumberFormat="1" applyFont="1" applyFill="1" applyBorder="1" applyAlignment="1">
      <alignment horizontal="center"/>
    </xf>
    <xf numFmtId="0" fontId="2" fillId="0" borderId="10" xfId="0" applyFont="1" applyBorder="1" applyAlignment="1">
      <alignment horizontal="center"/>
    </xf>
    <xf numFmtId="168" fontId="2" fillId="36" borderId="10" xfId="42" applyNumberFormat="1" applyFont="1" applyFill="1" applyBorder="1" applyAlignment="1">
      <alignment horizontal="center"/>
    </xf>
    <xf numFmtId="3" fontId="0" fillId="0" borderId="0" xfId="0" applyNumberFormat="1" applyAlignment="1">
      <alignment horizontal="center"/>
    </xf>
    <xf numFmtId="176" fontId="16" fillId="36" borderId="24" xfId="0" applyNumberFormat="1" applyFont="1" applyFill="1" applyBorder="1" applyAlignment="1">
      <alignment horizontal="center" vertical="top" wrapText="1"/>
    </xf>
    <xf numFmtId="176" fontId="16" fillId="36" borderId="26" xfId="0" applyNumberFormat="1" applyFont="1" applyFill="1" applyBorder="1" applyAlignment="1">
      <alignment horizontal="center" vertical="top" wrapText="1"/>
    </xf>
    <xf numFmtId="43" fontId="0" fillId="0" borderId="0" xfId="42" applyFont="1" applyAlignment="1">
      <alignment/>
    </xf>
    <xf numFmtId="0" fontId="0" fillId="0" borderId="0" xfId="0" applyAlignment="1">
      <alignment horizontal="left"/>
    </xf>
    <xf numFmtId="182" fontId="0" fillId="0" borderId="0" xfId="0" applyNumberFormat="1" applyAlignment="1">
      <alignment horizontal="left"/>
    </xf>
    <xf numFmtId="185" fontId="0" fillId="0" borderId="0" xfId="0" applyNumberFormat="1" applyAlignment="1">
      <alignment horizontal="left"/>
    </xf>
    <xf numFmtId="2" fontId="0" fillId="0" borderId="0" xfId="0" applyNumberFormat="1" applyAlignment="1">
      <alignment horizontal="left"/>
    </xf>
    <xf numFmtId="1" fontId="0" fillId="0" borderId="0" xfId="0" applyNumberFormat="1" applyAlignment="1">
      <alignment horizontal="left"/>
    </xf>
    <xf numFmtId="0" fontId="0" fillId="0" borderId="0" xfId="0" applyNumberFormat="1" applyAlignment="1">
      <alignment horizontal="left"/>
    </xf>
    <xf numFmtId="4" fontId="0" fillId="0" borderId="0" xfId="0" applyNumberFormat="1" applyAlignment="1">
      <alignment horizontal="left"/>
    </xf>
    <xf numFmtId="171" fontId="0" fillId="0" borderId="0" xfId="0" applyNumberFormat="1" applyAlignment="1">
      <alignment horizontal="left"/>
    </xf>
    <xf numFmtId="49" fontId="0" fillId="0" borderId="0" xfId="0" applyNumberFormat="1" applyAlignment="1">
      <alignment horizontal="left"/>
    </xf>
    <xf numFmtId="186" fontId="0" fillId="0" borderId="0" xfId="0" applyNumberFormat="1" applyAlignment="1">
      <alignment horizontal="left"/>
    </xf>
    <xf numFmtId="188" fontId="0" fillId="0" borderId="0" xfId="0" applyNumberFormat="1" applyAlignment="1">
      <alignment horizontal="left"/>
    </xf>
    <xf numFmtId="3" fontId="0" fillId="0" borderId="0" xfId="0" applyNumberFormat="1" applyAlignment="1">
      <alignment horizontal="left"/>
    </xf>
    <xf numFmtId="186" fontId="2" fillId="36" borderId="10" xfId="0" applyNumberFormat="1" applyFont="1" applyFill="1" applyBorder="1" applyAlignment="1">
      <alignment horizontal="center" vertical="center"/>
    </xf>
    <xf numFmtId="186" fontId="2" fillId="36" borderId="13" xfId="0" applyNumberFormat="1" applyFont="1" applyFill="1" applyBorder="1" applyAlignment="1">
      <alignment horizontal="center" vertical="center"/>
    </xf>
    <xf numFmtId="0" fontId="0" fillId="0" borderId="0" xfId="0" applyNumberFormat="1" applyAlignment="1">
      <alignment horizontal="center"/>
    </xf>
    <xf numFmtId="0" fontId="2" fillId="36" borderId="13" xfId="0" applyFont="1" applyFill="1" applyBorder="1" applyAlignment="1">
      <alignment horizontal="left" vertical="top" wrapText="1"/>
    </xf>
    <xf numFmtId="0" fontId="2" fillId="36" borderId="28" xfId="0" applyFont="1" applyFill="1" applyBorder="1" applyAlignment="1">
      <alignment horizontal="left" vertical="top" wrapText="1"/>
    </xf>
    <xf numFmtId="0" fontId="2" fillId="36" borderId="18" xfId="0" applyFont="1" applyFill="1" applyBorder="1" applyAlignment="1">
      <alignment horizontal="left" vertical="top" wrapText="1"/>
    </xf>
    <xf numFmtId="0" fontId="2" fillId="36" borderId="12" xfId="0" applyFont="1" applyFill="1" applyBorder="1" applyAlignment="1">
      <alignment horizontal="left" vertical="top" wrapText="1"/>
    </xf>
    <xf numFmtId="0" fontId="2" fillId="36" borderId="19" xfId="0" applyFont="1" applyFill="1" applyBorder="1" applyAlignment="1">
      <alignment horizontal="left" vertical="top" wrapText="1"/>
    </xf>
    <xf numFmtId="49" fontId="2" fillId="36" borderId="13" xfId="0" applyNumberFormat="1" applyFont="1" applyFill="1" applyBorder="1" applyAlignment="1">
      <alignment horizontal="left" vertical="top" wrapText="1"/>
    </xf>
    <xf numFmtId="37" fontId="2" fillId="36" borderId="10" xfId="42" applyNumberFormat="1" applyFont="1" applyFill="1" applyBorder="1" applyAlignment="1">
      <alignment horizontal="right"/>
    </xf>
    <xf numFmtId="0" fontId="2" fillId="36" borderId="10" xfId="0" applyFont="1" applyFill="1" applyBorder="1" applyAlignment="1">
      <alignment horizontal="right"/>
    </xf>
    <xf numFmtId="37" fontId="2" fillId="36" borderId="10" xfId="0" applyNumberFormat="1" applyFont="1" applyFill="1" applyBorder="1" applyAlignment="1">
      <alignment horizontal="right"/>
    </xf>
    <xf numFmtId="3" fontId="2" fillId="36" borderId="10" xfId="0" applyNumberFormat="1" applyFont="1" applyFill="1" applyBorder="1" applyAlignment="1">
      <alignment/>
    </xf>
    <xf numFmtId="3" fontId="2" fillId="36" borderId="10" xfId="0" applyNumberFormat="1" applyFont="1" applyFill="1" applyBorder="1" applyAlignment="1">
      <alignment/>
    </xf>
    <xf numFmtId="3" fontId="2" fillId="36" borderId="10" xfId="0" applyNumberFormat="1" applyFont="1" applyFill="1" applyBorder="1" applyAlignment="1">
      <alignment horizontal="center" vertical="center"/>
    </xf>
    <xf numFmtId="0" fontId="2" fillId="36" borderId="13" xfId="0" applyFont="1" applyFill="1" applyBorder="1" applyAlignment="1">
      <alignment horizontal="center"/>
    </xf>
    <xf numFmtId="3" fontId="2" fillId="36" borderId="10" xfId="0" applyNumberFormat="1" applyFont="1" applyFill="1" applyBorder="1" applyAlignment="1">
      <alignment horizontal="right"/>
    </xf>
    <xf numFmtId="3" fontId="2" fillId="36" borderId="10" xfId="0" applyNumberFormat="1" applyFont="1" applyFill="1" applyBorder="1" applyAlignment="1">
      <alignment horizontal="center" vertical="center" wrapText="1"/>
    </xf>
    <xf numFmtId="176" fontId="2" fillId="36" borderId="10" xfId="0" applyNumberFormat="1" applyFont="1" applyFill="1" applyBorder="1" applyAlignment="1">
      <alignment horizontal="center"/>
    </xf>
    <xf numFmtId="0" fontId="0" fillId="0" borderId="0" xfId="0" applyFont="1" applyFill="1" applyBorder="1" applyAlignment="1">
      <alignment/>
    </xf>
    <xf numFmtId="0" fontId="33" fillId="0" borderId="0" xfId="0" applyFont="1" applyAlignment="1">
      <alignment horizontal="center" vertical="top"/>
    </xf>
    <xf numFmtId="0" fontId="34" fillId="37" borderId="14" xfId="0" applyFont="1" applyFill="1" applyBorder="1" applyAlignment="1">
      <alignment vertical="top"/>
    </xf>
    <xf numFmtId="0" fontId="35" fillId="37" borderId="16" xfId="0" applyFont="1" applyFill="1" applyBorder="1" applyAlignment="1">
      <alignment vertical="top"/>
    </xf>
    <xf numFmtId="0" fontId="35" fillId="37" borderId="16" xfId="0" applyFont="1" applyFill="1" applyBorder="1" applyAlignment="1">
      <alignment horizontal="center" vertical="top"/>
    </xf>
    <xf numFmtId="0" fontId="35" fillId="37" borderId="13" xfId="0" applyFont="1" applyFill="1" applyBorder="1" applyAlignment="1">
      <alignment vertical="top"/>
    </xf>
    <xf numFmtId="0" fontId="0" fillId="0" borderId="0" xfId="0" applyAlignment="1" quotePrefix="1">
      <alignment horizontal="right" vertical="top"/>
    </xf>
    <xf numFmtId="0" fontId="0" fillId="0" borderId="0" xfId="0" applyAlignment="1">
      <alignment horizontal="center" vertical="top"/>
    </xf>
    <xf numFmtId="0" fontId="2" fillId="36" borderId="10" xfId="0" applyFont="1" applyFill="1" applyBorder="1" applyAlignment="1">
      <alignment horizontal="left" vertical="top" wrapText="1"/>
    </xf>
    <xf numFmtId="0" fontId="2" fillId="0" borderId="0" xfId="0" applyFont="1" applyAlignment="1" quotePrefix="1">
      <alignment vertical="top" wrapText="1"/>
    </xf>
    <xf numFmtId="0" fontId="24" fillId="0" borderId="0" xfId="53" applyAlignment="1" applyProtection="1">
      <alignment vertical="top"/>
      <protection/>
    </xf>
    <xf numFmtId="0" fontId="0" fillId="35" borderId="10" xfId="0" applyFill="1" applyBorder="1" applyAlignment="1">
      <alignment horizontal="left" vertical="top" wrapText="1"/>
    </xf>
    <xf numFmtId="0" fontId="32" fillId="0" borderId="0" xfId="0" applyFont="1" applyAlignment="1">
      <alignment/>
    </xf>
    <xf numFmtId="0" fontId="13" fillId="0" borderId="0" xfId="0" applyFont="1" applyAlignment="1">
      <alignment horizontal="left" indent="5"/>
    </xf>
    <xf numFmtId="0" fontId="37" fillId="0" borderId="0" xfId="0" applyFont="1" applyAlignment="1">
      <alignment horizontal="left" indent="4"/>
    </xf>
    <xf numFmtId="0" fontId="2" fillId="35" borderId="0" xfId="0" applyFont="1" applyFill="1" applyAlignment="1">
      <alignment wrapText="1"/>
    </xf>
    <xf numFmtId="0" fontId="14" fillId="0" borderId="20" xfId="0" applyFont="1" applyFill="1" applyBorder="1" applyAlignment="1">
      <alignment horizontal="left" vertical="top" wrapText="1"/>
    </xf>
    <xf numFmtId="0" fontId="14" fillId="0" borderId="0" xfId="0" applyFont="1" applyFill="1" applyAlignment="1">
      <alignment wrapText="1"/>
    </xf>
    <xf numFmtId="0" fontId="9" fillId="35" borderId="10" xfId="0" applyFont="1" applyFill="1" applyBorder="1" applyAlignment="1">
      <alignment/>
    </xf>
    <xf numFmtId="0" fontId="9" fillId="35" borderId="10" xfId="0" applyFont="1" applyFill="1" applyBorder="1" applyAlignment="1">
      <alignment wrapText="1"/>
    </xf>
    <xf numFmtId="0" fontId="0" fillId="35" borderId="14" xfId="0" applyFill="1" applyBorder="1" applyAlignment="1">
      <alignment vertical="center"/>
    </xf>
    <xf numFmtId="0" fontId="0" fillId="35" borderId="10" xfId="0" applyFont="1" applyFill="1" applyBorder="1" applyAlignment="1">
      <alignment wrapText="1"/>
    </xf>
    <xf numFmtId="174" fontId="2" fillId="36" borderId="10" xfId="0" applyNumberFormat="1" applyFont="1" applyFill="1" applyBorder="1" applyAlignment="1">
      <alignment horizontal="center" vertical="center"/>
    </xf>
    <xf numFmtId="174" fontId="2" fillId="33" borderId="10" xfId="0" applyNumberFormat="1" applyFont="1" applyFill="1" applyBorder="1" applyAlignment="1">
      <alignment horizontal="right" vertical="center"/>
    </xf>
    <xf numFmtId="174" fontId="0" fillId="33" borderId="10" xfId="0" applyNumberFormat="1" applyFill="1" applyBorder="1" applyAlignment="1">
      <alignment horizontal="right" vertical="center"/>
    </xf>
    <xf numFmtId="0" fontId="2" fillId="0" borderId="0" xfId="0" applyFont="1" applyFill="1" applyAlignment="1">
      <alignment/>
    </xf>
    <xf numFmtId="0" fontId="24" fillId="36" borderId="13" xfId="53" applyFill="1" applyBorder="1" applyAlignment="1" applyProtection="1">
      <alignment horizontal="left" vertical="top" wrapText="1"/>
      <protection/>
    </xf>
    <xf numFmtId="37" fontId="0" fillId="0" borderId="0" xfId="0" applyNumberFormat="1" applyAlignment="1">
      <alignment/>
    </xf>
    <xf numFmtId="0" fontId="38" fillId="0" borderId="20" xfId="0" applyFont="1" applyBorder="1" applyAlignment="1">
      <alignment horizontal="center" vertical="top" wrapText="1"/>
    </xf>
    <xf numFmtId="176" fontId="0" fillId="0" borderId="10" xfId="59" applyNumberForma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0" fontId="25" fillId="0" borderId="0" xfId="0" applyFont="1" applyAlignment="1">
      <alignment horizontal="left" vertical="top" wrapText="1"/>
    </xf>
    <xf numFmtId="0" fontId="38" fillId="0" borderId="0" xfId="0" applyFont="1" applyAlignment="1">
      <alignment horizontal="center" vertical="top" wrapText="1"/>
    </xf>
    <xf numFmtId="0" fontId="10" fillId="35" borderId="0" xfId="0" applyFont="1" applyFill="1" applyAlignment="1">
      <alignment horizontal="left" vertical="top" wrapText="1"/>
    </xf>
    <xf numFmtId="0" fontId="14" fillId="36" borderId="10" xfId="0" applyFont="1" applyFill="1"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xf>
    <xf numFmtId="0" fontId="0" fillId="0" borderId="22" xfId="0" applyBorder="1" applyAlignment="1">
      <alignment horizontal="center" vertical="top" wrapText="1"/>
    </xf>
    <xf numFmtId="0" fontId="0" fillId="0" borderId="11" xfId="0" applyBorder="1" applyAlignment="1">
      <alignment horizontal="center" vertical="top" wrapText="1"/>
    </xf>
    <xf numFmtId="0" fontId="24" fillId="36" borderId="27" xfId="53" applyFill="1" applyBorder="1" applyAlignment="1" applyProtection="1">
      <alignment horizontal="left"/>
      <protection/>
    </xf>
    <xf numFmtId="0" fontId="2" fillId="36" borderId="11" xfId="0" applyFont="1" applyFill="1" applyBorder="1" applyAlignment="1">
      <alignment horizontal="left"/>
    </xf>
    <xf numFmtId="0" fontId="2" fillId="36" borderId="28" xfId="0" applyFont="1" applyFill="1" applyBorder="1" applyAlignment="1">
      <alignment horizontal="left"/>
    </xf>
    <xf numFmtId="0" fontId="0" fillId="0" borderId="12" xfId="0" applyBorder="1" applyAlignment="1">
      <alignment horizontal="left" vertical="top"/>
    </xf>
    <xf numFmtId="0" fontId="0" fillId="0" borderId="19" xfId="0" applyBorder="1" applyAlignment="1">
      <alignment horizontal="left" vertical="top"/>
    </xf>
    <xf numFmtId="0" fontId="14" fillId="36" borderId="19" xfId="0" applyFont="1" applyFill="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4" fillId="36" borderId="10" xfId="53" applyFill="1" applyBorder="1" applyAlignment="1" applyProtection="1">
      <alignment horizontal="left" vertical="top" wrapText="1"/>
      <protection/>
    </xf>
    <xf numFmtId="49" fontId="14" fillId="36" borderId="10" xfId="0" applyNumberFormat="1" applyFont="1" applyFill="1" applyBorder="1" applyAlignment="1">
      <alignment horizontal="left" vertical="top" wrapText="1"/>
    </xf>
    <xf numFmtId="0" fontId="14" fillId="36" borderId="14" xfId="53" applyFont="1" applyFill="1" applyBorder="1" applyAlignment="1" applyProtection="1">
      <alignment horizontal="left" vertical="top" wrapText="1"/>
      <protection/>
    </xf>
    <xf numFmtId="0" fontId="14" fillId="36" borderId="13" xfId="53" applyFont="1" applyFill="1" applyBorder="1" applyAlignment="1" applyProtection="1">
      <alignment horizontal="left" vertical="top" wrapText="1"/>
      <protection/>
    </xf>
    <xf numFmtId="0" fontId="14" fillId="36" borderId="17" xfId="0" applyFont="1" applyFill="1" applyBorder="1" applyAlignment="1">
      <alignment horizontal="left" vertical="top" wrapText="1"/>
    </xf>
    <xf numFmtId="0" fontId="14" fillId="36" borderId="18" xfId="0" applyFont="1" applyFill="1" applyBorder="1" applyAlignment="1">
      <alignment horizontal="left" vertical="top" wrapText="1"/>
    </xf>
    <xf numFmtId="0" fontId="14" fillId="36" borderId="27" xfId="0" applyFont="1" applyFill="1" applyBorder="1" applyAlignment="1">
      <alignment horizontal="left" vertical="top" wrapText="1"/>
    </xf>
    <xf numFmtId="0" fontId="14" fillId="36" borderId="28" xfId="0" applyFont="1" applyFill="1" applyBorder="1" applyAlignment="1">
      <alignment horizontal="left" vertical="top" wrapText="1"/>
    </xf>
    <xf numFmtId="0" fontId="14" fillId="36" borderId="12" xfId="0" applyFont="1" applyFill="1" applyBorder="1" applyAlignment="1">
      <alignment horizontal="left" vertical="top" wrapText="1"/>
    </xf>
    <xf numFmtId="0" fontId="0" fillId="0" borderId="17" xfId="0" applyBorder="1" applyAlignment="1">
      <alignment horizontal="left" vertical="top"/>
    </xf>
    <xf numFmtId="0" fontId="38" fillId="0" borderId="0" xfId="0" applyFont="1" applyAlignment="1">
      <alignment horizontal="center" vertical="top"/>
    </xf>
    <xf numFmtId="0" fontId="1" fillId="33" borderId="0" xfId="0" applyFont="1" applyFill="1" applyAlignment="1">
      <alignment horizontal="center" vertical="center"/>
    </xf>
    <xf numFmtId="0" fontId="0" fillId="0" borderId="11" xfId="0" applyBorder="1" applyAlignment="1">
      <alignment horizontal="left" vertical="top" wrapText="1"/>
    </xf>
    <xf numFmtId="0" fontId="14" fillId="36" borderId="14" xfId="0" applyFont="1" applyFill="1" applyBorder="1" applyAlignment="1">
      <alignment horizontal="left" vertical="top" wrapText="1"/>
    </xf>
    <xf numFmtId="0" fontId="14" fillId="36"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10" xfId="0" applyBorder="1" applyAlignment="1">
      <alignment horizontal="left" vertical="top" wrapText="1"/>
    </xf>
    <xf numFmtId="0" fontId="0" fillId="0" borderId="14" xfId="0" applyFont="1"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left" vertical="top" wrapText="1"/>
    </xf>
    <xf numFmtId="0" fontId="0" fillId="0" borderId="14" xfId="0" applyFont="1"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7" xfId="0" applyFont="1" applyBorder="1" applyAlignment="1">
      <alignment horizontal="left" vertical="top" wrapText="1"/>
    </xf>
    <xf numFmtId="0" fontId="0" fillId="0" borderId="22" xfId="0" applyFont="1" applyBorder="1" applyAlignment="1">
      <alignment horizontal="left" vertical="top" wrapText="1"/>
    </xf>
    <xf numFmtId="0" fontId="0" fillId="0" borderId="18" xfId="0" applyFont="1" applyBorder="1" applyAlignment="1">
      <alignment horizontal="left" vertical="top" wrapText="1"/>
    </xf>
    <xf numFmtId="0" fontId="0" fillId="36" borderId="27" xfId="0" applyFill="1" applyBorder="1" applyAlignment="1">
      <alignment horizontal="left" vertical="top"/>
    </xf>
    <xf numFmtId="0" fontId="0" fillId="36" borderId="11" xfId="0" applyFill="1" applyBorder="1" applyAlignment="1">
      <alignment horizontal="left" vertical="top"/>
    </xf>
    <xf numFmtId="0" fontId="0" fillId="36" borderId="28" xfId="0" applyFill="1" applyBorder="1" applyAlignment="1">
      <alignment horizontal="left" vertical="top"/>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2" fillId="0" borderId="22" xfId="0" applyFont="1" applyBorder="1" applyAlignment="1">
      <alignment horizontal="left" vertical="top" wrapText="1"/>
    </xf>
    <xf numFmtId="0" fontId="0" fillId="36" borderId="14" xfId="0" applyFill="1" applyBorder="1" applyAlignment="1">
      <alignment horizontal="left"/>
    </xf>
    <xf numFmtId="0" fontId="0" fillId="36" borderId="13" xfId="0" applyFill="1" applyBorder="1" applyAlignment="1">
      <alignment horizontal="left"/>
    </xf>
    <xf numFmtId="0" fontId="13"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xf>
    <xf numFmtId="0" fontId="0" fillId="0" borderId="21" xfId="0" applyFill="1" applyBorder="1" applyAlignment="1">
      <alignment/>
    </xf>
    <xf numFmtId="0" fontId="0" fillId="0" borderId="10" xfId="0" applyFill="1" applyBorder="1" applyAlignment="1">
      <alignment horizontal="left" vertical="top" wrapText="1"/>
    </xf>
    <xf numFmtId="0" fontId="0" fillId="0" borderId="0" xfId="0" applyFill="1" applyAlignment="1">
      <alignment/>
    </xf>
    <xf numFmtId="0" fontId="14" fillId="33" borderId="14" xfId="0" applyFont="1" applyFill="1" applyBorder="1" applyAlignment="1">
      <alignment/>
    </xf>
    <xf numFmtId="0" fontId="0" fillId="0" borderId="16" xfId="0" applyBorder="1" applyAlignment="1">
      <alignment/>
    </xf>
    <xf numFmtId="0" fontId="0" fillId="0" borderId="13" xfId="0" applyBorder="1" applyAlignment="1">
      <alignment/>
    </xf>
    <xf numFmtId="0" fontId="0" fillId="0" borderId="16"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Border="1" applyAlignment="1">
      <alignment horizontal="left" vertical="top"/>
    </xf>
    <xf numFmtId="0" fontId="0" fillId="0" borderId="13" xfId="0" applyBorder="1" applyAlignment="1">
      <alignment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2" fillId="36" borderId="14" xfId="0" applyFont="1" applyFill="1" applyBorder="1" applyAlignment="1">
      <alignment horizontal="left" vertical="center"/>
    </xf>
    <xf numFmtId="0" fontId="2" fillId="36" borderId="13" xfId="0" applyFont="1" applyFill="1" applyBorder="1" applyAlignment="1">
      <alignment horizontal="left" vertical="center"/>
    </xf>
    <xf numFmtId="0" fontId="0" fillId="0" borderId="18" xfId="0" applyFont="1" applyBorder="1" applyAlignment="1">
      <alignment wrapText="1"/>
    </xf>
    <xf numFmtId="0" fontId="0" fillId="0" borderId="12" xfId="0" applyBorder="1" applyAlignment="1">
      <alignment wrapText="1"/>
    </xf>
    <xf numFmtId="0" fontId="0" fillId="0" borderId="17" xfId="0" applyBorder="1" applyAlignment="1">
      <alignment wrapText="1"/>
    </xf>
    <xf numFmtId="0" fontId="14" fillId="0" borderId="0" xfId="0" applyFont="1" applyFill="1" applyBorder="1" applyAlignment="1">
      <alignment/>
    </xf>
    <xf numFmtId="0" fontId="2" fillId="36" borderId="27" xfId="0" applyFont="1" applyFill="1" applyBorder="1" applyAlignment="1">
      <alignment horizontal="lef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14" fillId="33" borderId="10" xfId="0" applyFont="1" applyFill="1" applyBorder="1" applyAlignment="1">
      <alignment/>
    </xf>
    <xf numFmtId="0" fontId="0" fillId="33" borderId="10" xfId="0" applyFill="1" applyBorder="1" applyAlignment="1">
      <alignment/>
    </xf>
    <xf numFmtId="0" fontId="0" fillId="0" borderId="0" xfId="0" applyAlignment="1">
      <alignment horizontal="center" vertical="center"/>
    </xf>
    <xf numFmtId="0" fontId="0" fillId="0" borderId="14" xfId="0" applyBorder="1" applyAlignment="1">
      <alignment/>
    </xf>
    <xf numFmtId="0" fontId="0" fillId="0" borderId="0" xfId="0" applyBorder="1" applyAlignment="1">
      <alignment horizontal="left" vertical="top" wrapText="1"/>
    </xf>
    <xf numFmtId="0" fontId="0" fillId="0" borderId="14" xfId="0" applyFill="1" applyBorder="1" applyAlignment="1">
      <alignment/>
    </xf>
    <xf numFmtId="0" fontId="9" fillId="0" borderId="14" xfId="0" applyFont="1" applyBorder="1" applyAlignment="1">
      <alignment/>
    </xf>
    <xf numFmtId="0" fontId="0" fillId="0" borderId="22" xfId="0" applyBorder="1" applyAlignment="1">
      <alignment horizontal="left" vertical="top" wrapText="1"/>
    </xf>
    <xf numFmtId="0" fontId="0" fillId="0" borderId="0" xfId="0" applyFont="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2" fillId="36" borderId="14" xfId="0" applyFont="1" applyFill="1" applyBorder="1" applyAlignment="1">
      <alignment horizontal="left" vertical="top" wrapText="1"/>
    </xf>
    <xf numFmtId="0" fontId="2" fillId="36" borderId="16" xfId="0" applyFont="1" applyFill="1" applyBorder="1" applyAlignment="1">
      <alignment horizontal="left" vertical="top"/>
    </xf>
    <xf numFmtId="0" fontId="2" fillId="36" borderId="13" xfId="0" applyFont="1" applyFill="1" applyBorder="1" applyAlignment="1">
      <alignment horizontal="left" vertical="top"/>
    </xf>
    <xf numFmtId="0" fontId="0" fillId="0" borderId="11" xfId="0" applyBorder="1" applyAlignment="1">
      <alignment/>
    </xf>
    <xf numFmtId="0" fontId="0" fillId="0" borderId="14" xfId="0" applyFill="1" applyBorder="1" applyAlignment="1" applyProtection="1">
      <alignment/>
      <protection locked="0"/>
    </xf>
    <xf numFmtId="0" fontId="0" fillId="0" borderId="16" xfId="0" applyFill="1" applyBorder="1" applyAlignment="1" applyProtection="1">
      <alignment/>
      <protection locked="0"/>
    </xf>
    <xf numFmtId="0" fontId="0" fillId="0" borderId="13"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17" xfId="0" applyBorder="1" applyAlignment="1">
      <alignment horizontal="left"/>
    </xf>
    <xf numFmtId="0" fontId="0" fillId="0" borderId="18" xfId="0" applyBorder="1" applyAlignment="1">
      <alignment horizontal="left"/>
    </xf>
    <xf numFmtId="0" fontId="9"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2" fillId="36" borderId="27" xfId="0" applyFont="1" applyFill="1" applyBorder="1" applyAlignment="1">
      <alignment horizontal="left" wrapText="1"/>
    </xf>
    <xf numFmtId="0" fontId="9" fillId="0" borderId="14" xfId="0" applyFont="1" applyBorder="1" applyAlignment="1">
      <alignment horizontal="left" vertical="top" wrapText="1"/>
    </xf>
    <xf numFmtId="0" fontId="14" fillId="0" borderId="14" xfId="0" applyFont="1" applyBorder="1" applyAlignment="1">
      <alignment horizontal="center" vertical="top" wrapText="1"/>
    </xf>
    <xf numFmtId="0" fontId="14" fillId="0" borderId="16" xfId="0" applyFont="1" applyBorder="1" applyAlignment="1">
      <alignment horizontal="center" vertical="top" wrapText="1"/>
    </xf>
    <xf numFmtId="0" fontId="14" fillId="0" borderId="13" xfId="0" applyFont="1" applyBorder="1" applyAlignment="1">
      <alignment horizontal="center" vertical="top" wrapText="1"/>
    </xf>
    <xf numFmtId="0" fontId="9" fillId="0" borderId="0" xfId="0" applyFont="1" applyFill="1" applyBorder="1" applyAlignment="1">
      <alignment vertical="top" wrapText="1"/>
    </xf>
    <xf numFmtId="0" fontId="9" fillId="36" borderId="27" xfId="0" applyFont="1" applyFill="1" applyBorder="1" applyAlignment="1">
      <alignment horizontal="center"/>
    </xf>
    <xf numFmtId="0" fontId="9" fillId="36" borderId="28" xfId="0" applyFont="1" applyFill="1" applyBorder="1" applyAlignment="1">
      <alignment horizontal="center"/>
    </xf>
    <xf numFmtId="0" fontId="9" fillId="35"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9" xfId="0"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0" fillId="0" borderId="0" xfId="0" applyFill="1" applyBorder="1" applyAlignment="1">
      <alignment horizontal="left" vertical="top" wrapText="1"/>
    </xf>
    <xf numFmtId="0" fontId="0" fillId="0" borderId="18"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2" fillId="36" borderId="27" xfId="0" applyFont="1" applyFill="1" applyBorder="1" applyAlignment="1">
      <alignment horizontal="left" vertical="top" wrapText="1"/>
    </xf>
    <xf numFmtId="0" fontId="2" fillId="36" borderId="11" xfId="0" applyFont="1" applyFill="1" applyBorder="1" applyAlignment="1">
      <alignment horizontal="left" vertical="top" wrapText="1"/>
    </xf>
    <xf numFmtId="0" fontId="2" fillId="36" borderId="28" xfId="0" applyFont="1" applyFill="1" applyBorder="1" applyAlignment="1">
      <alignment horizontal="lef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5" fillId="0" borderId="0" xfId="0" applyFont="1" applyAlignment="1">
      <alignment horizontal="left" vertical="top"/>
    </xf>
    <xf numFmtId="0" fontId="0" fillId="0" borderId="11" xfId="0" applyFont="1" applyBorder="1" applyAlignment="1">
      <alignment horizontal="left" vertical="top" wrapText="1"/>
    </xf>
    <xf numFmtId="0" fontId="0" fillId="36" borderId="27"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28" xfId="0" applyFont="1" applyFill="1" applyBorder="1" applyAlignment="1">
      <alignment horizontal="left" vertical="top" wrapText="1"/>
    </xf>
    <xf numFmtId="0" fontId="0" fillId="0" borderId="0" xfId="0" applyFont="1" applyAlignment="1">
      <alignment vertical="top" wrapText="1"/>
    </xf>
    <xf numFmtId="0" fontId="2" fillId="0" borderId="0" xfId="0" applyFont="1" applyAlignment="1">
      <alignment horizontal="left" vertical="top" wrapText="1"/>
    </xf>
    <xf numFmtId="0" fontId="2" fillId="36" borderId="28" xfId="0" applyFont="1" applyFill="1" applyBorder="1" applyAlignment="1">
      <alignment horizontal="left" vertical="top"/>
    </xf>
    <xf numFmtId="49" fontId="2" fillId="36" borderId="14" xfId="0" applyNumberFormat="1" applyFont="1" applyFill="1" applyBorder="1" applyAlignment="1">
      <alignment horizontal="center" vertical="center"/>
    </xf>
    <xf numFmtId="49" fontId="2" fillId="36" borderId="13" xfId="0" applyNumberFormat="1" applyFont="1" applyFill="1" applyBorder="1" applyAlignment="1">
      <alignment horizontal="center" vertical="center"/>
    </xf>
    <xf numFmtId="0" fontId="2" fillId="36" borderId="13" xfId="0" applyFont="1" applyFill="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wrapText="1"/>
    </xf>
    <xf numFmtId="0" fontId="0" fillId="0" borderId="11" xfId="0" applyBorder="1" applyAlignment="1">
      <alignment wrapText="1"/>
    </xf>
    <xf numFmtId="0" fontId="0" fillId="0" borderId="18" xfId="0"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14" fillId="0" borderId="0" xfId="0" applyFont="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xf>
    <xf numFmtId="0" fontId="14" fillId="0" borderId="0" xfId="0" applyFont="1" applyFill="1" applyAlignment="1">
      <alignment wrapText="1"/>
    </xf>
    <xf numFmtId="0" fontId="0" fillId="0" borderId="0" xfId="0" applyFont="1" applyFill="1" applyAlignment="1">
      <alignment wrapText="1"/>
    </xf>
    <xf numFmtId="0" fontId="0" fillId="0" borderId="16" xfId="0" applyFill="1" applyBorder="1" applyAlignment="1">
      <alignment wrapText="1"/>
    </xf>
    <xf numFmtId="0" fontId="0" fillId="0" borderId="13" xfId="0" applyFill="1" applyBorder="1" applyAlignment="1">
      <alignment wrapText="1"/>
    </xf>
    <xf numFmtId="0" fontId="0" fillId="0" borderId="22" xfId="0" applyFill="1" applyBorder="1" applyAlignment="1">
      <alignment wrapText="1"/>
    </xf>
    <xf numFmtId="0" fontId="0" fillId="0" borderId="18" xfId="0" applyFill="1" applyBorder="1" applyAlignment="1">
      <alignment wrapText="1"/>
    </xf>
    <xf numFmtId="0" fontId="0" fillId="33" borderId="14" xfId="0" applyFill="1" applyBorder="1" applyAlignment="1">
      <alignment/>
    </xf>
    <xf numFmtId="0" fontId="0" fillId="33" borderId="16" xfId="0" applyFill="1" applyBorder="1" applyAlignment="1">
      <alignment/>
    </xf>
    <xf numFmtId="0" fontId="0" fillId="33" borderId="13" xfId="0" applyFill="1" applyBorder="1" applyAlignment="1">
      <alignment/>
    </xf>
    <xf numFmtId="0" fontId="8" fillId="33" borderId="14" xfId="0" applyFont="1" applyFill="1" applyBorder="1" applyAlignment="1">
      <alignment/>
    </xf>
    <xf numFmtId="0" fontId="8" fillId="33" borderId="16" xfId="0" applyFont="1" applyFill="1" applyBorder="1" applyAlignment="1">
      <alignment/>
    </xf>
    <xf numFmtId="0" fontId="8" fillId="33" borderId="13" xfId="0" applyFont="1" applyFill="1" applyBorder="1" applyAlignment="1">
      <alignment/>
    </xf>
    <xf numFmtId="0" fontId="0" fillId="0" borderId="10" xfId="0" applyBorder="1" applyAlignment="1">
      <alignment horizontal="left" vertical="center"/>
    </xf>
    <xf numFmtId="0" fontId="19" fillId="0" borderId="14" xfId="0" applyFont="1" applyBorder="1" applyAlignment="1">
      <alignment horizontal="left" vertical="top" wrapText="1"/>
    </xf>
    <xf numFmtId="0" fontId="19" fillId="0" borderId="16" xfId="0" applyFont="1" applyBorder="1" applyAlignment="1">
      <alignment horizontal="left" vertical="top" wrapText="1"/>
    </xf>
    <xf numFmtId="0" fontId="19" fillId="0" borderId="13" xfId="0" applyFont="1" applyBorder="1" applyAlignment="1">
      <alignment horizontal="left" vertical="top" wrapText="1"/>
    </xf>
    <xf numFmtId="0" fontId="0" fillId="33" borderId="10" xfId="0" applyFill="1" applyBorder="1" applyAlignment="1">
      <alignment/>
    </xf>
    <xf numFmtId="0" fontId="0" fillId="0" borderId="14" xfId="0" applyBorder="1" applyAlignment="1">
      <alignment horizontal="left" vertical="top"/>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4" xfId="0" applyFill="1" applyBorder="1" applyAlignment="1">
      <alignment horizontal="left" vertical="top"/>
    </xf>
    <xf numFmtId="0" fontId="0" fillId="0" borderId="16" xfId="0" applyFill="1" applyBorder="1" applyAlignment="1">
      <alignment/>
    </xf>
    <xf numFmtId="0" fontId="0" fillId="0" borderId="13" xfId="0" applyFill="1" applyBorder="1" applyAlignment="1">
      <alignment/>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18" fillId="0" borderId="10"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3" fillId="0" borderId="0" xfId="0" applyFont="1" applyAlignment="1">
      <alignment horizontal="left" vertical="top" wrapText="1"/>
    </xf>
    <xf numFmtId="0" fontId="18" fillId="0" borderId="0" xfId="0" applyFont="1" applyAlignment="1">
      <alignment horizontal="left" vertical="top" wrapText="1"/>
    </xf>
    <xf numFmtId="0" fontId="38" fillId="0" borderId="0" xfId="0" applyFont="1" applyAlignment="1">
      <alignment horizont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llegetoolkit.com/CDS/DataDictionary0708.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m.edu/ir/CDS/cds.html" TargetMode="External" /><Relationship Id="rId2" Type="http://schemas.openxmlformats.org/officeDocument/2006/relationships/hyperlink" Target="mailto:ospa@wm.edu" TargetMode="External" /><Relationship Id="rId3" Type="http://schemas.openxmlformats.org/officeDocument/2006/relationships/hyperlink" Target="http://www.wm.edu/" TargetMode="External" /><Relationship Id="rId4" Type="http://schemas.openxmlformats.org/officeDocument/2006/relationships/hyperlink" Target="mailto:admiss@wm.edu" TargetMode="External" /><Relationship Id="rId5" Type="http://schemas.openxmlformats.org/officeDocument/2006/relationships/hyperlink" Target="http://www.wm.edu/admission/" TargetMode="Externa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E20"/>
  <sheetViews>
    <sheetView showGridLines="0" zoomScalePageLayoutView="0" workbookViewId="0" topLeftCell="A1">
      <selection activeCell="E39" sqref="E39"/>
    </sheetView>
  </sheetViews>
  <sheetFormatPr defaultColWidth="9.140625" defaultRowHeight="12.75"/>
  <cols>
    <col min="1" max="3" width="4.57421875" style="199" customWidth="1"/>
    <col min="4" max="4" width="7.421875" style="345" customWidth="1"/>
    <col min="5" max="5" width="59.00390625" style="199" customWidth="1"/>
    <col min="6" max="16384" width="9.140625" style="199" customWidth="1"/>
  </cols>
  <sheetData>
    <row r="2" spans="1:5" ht="12.75">
      <c r="A2" s="339"/>
      <c r="B2" s="340" t="s">
        <v>1012</v>
      </c>
      <c r="C2" s="341"/>
      <c r="D2" s="342"/>
      <c r="E2" s="343"/>
    </row>
    <row r="4" spans="4:5" ht="124.5" customHeight="1">
      <c r="D4" s="368" t="s">
        <v>50</v>
      </c>
      <c r="E4" s="369"/>
    </row>
    <row r="5" spans="4:5" ht="93" customHeight="1">
      <c r="D5" s="368" t="s">
        <v>51</v>
      </c>
      <c r="E5" s="369"/>
    </row>
    <row r="6" spans="3:5" ht="12.75">
      <c r="C6" s="82"/>
      <c r="D6" s="344"/>
      <c r="E6" s="196"/>
    </row>
    <row r="7" spans="1:5" ht="12.75">
      <c r="A7" s="339"/>
      <c r="B7" s="340" t="s">
        <v>1013</v>
      </c>
      <c r="C7" s="341"/>
      <c r="D7" s="342"/>
      <c r="E7" s="343"/>
    </row>
    <row r="9" spans="3:5" ht="12.75">
      <c r="C9" s="346"/>
      <c r="E9" s="30" t="s">
        <v>1014</v>
      </c>
    </row>
    <row r="10" spans="3:5" ht="51">
      <c r="C10" s="82"/>
      <c r="D10" s="344"/>
      <c r="E10" s="196" t="s">
        <v>1015</v>
      </c>
    </row>
    <row r="11" spans="3:5" ht="12.75">
      <c r="C11" s="82"/>
      <c r="D11" s="344"/>
      <c r="E11" s="196"/>
    </row>
    <row r="12" spans="3:5" ht="12.75">
      <c r="C12" s="82"/>
      <c r="D12" s="344"/>
      <c r="E12" s="347" t="s">
        <v>1016</v>
      </c>
    </row>
    <row r="13" ht="76.5">
      <c r="E13" s="196" t="s">
        <v>1017</v>
      </c>
    </row>
    <row r="15" ht="12.75">
      <c r="E15" s="347" t="s">
        <v>52</v>
      </c>
    </row>
    <row r="16" ht="38.25">
      <c r="E16" s="196" t="s">
        <v>55</v>
      </c>
    </row>
    <row r="18" ht="12.75">
      <c r="E18" s="30" t="s">
        <v>53</v>
      </c>
    </row>
    <row r="19" ht="51">
      <c r="E19" s="196" t="s">
        <v>54</v>
      </c>
    </row>
    <row r="20" ht="12.75">
      <c r="E20" s="348" t="s">
        <v>451</v>
      </c>
    </row>
  </sheetData>
  <sheetProtection/>
  <mergeCells count="2">
    <mergeCell ref="D4:E4"/>
    <mergeCell ref="D5:E5"/>
  </mergeCells>
  <hyperlinks>
    <hyperlink ref="E20" r:id="rId1" display="http://www.CollegeToolkit.com/CDS/DataDictionary0708.pdf"/>
  </hyperlinks>
  <printOptions/>
  <pageMargins left="0.75" right="0.75" top="1" bottom="1" header="0.5" footer="0.5"/>
  <pageSetup fitToHeight="1" fitToWidth="1"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E53"/>
  <sheetViews>
    <sheetView zoomScalePageLayoutView="0" workbookViewId="0" topLeftCell="A1">
      <selection activeCell="E50" sqref="E50"/>
    </sheetView>
  </sheetViews>
  <sheetFormatPr defaultColWidth="9.140625" defaultRowHeight="12.75"/>
  <cols>
    <col min="1" max="1" width="3.8515625" style="1" customWidth="1"/>
    <col min="2" max="2" width="29.28125" style="0" customWidth="1"/>
    <col min="3" max="5" width="18.7109375" style="0" customWidth="1"/>
  </cols>
  <sheetData>
    <row r="1" spans="1:5" ht="23.25">
      <c r="A1" s="397" t="s">
        <v>1972</v>
      </c>
      <c r="B1" s="397"/>
      <c r="C1" s="397"/>
      <c r="D1" s="397"/>
      <c r="E1" s="397"/>
    </row>
    <row r="2" spans="1:5" ht="18">
      <c r="A2" s="398" t="s">
        <v>309</v>
      </c>
      <c r="B2" s="398"/>
      <c r="C2" s="398"/>
      <c r="D2" s="398"/>
      <c r="E2" s="398"/>
    </row>
    <row r="4" spans="2:5" ht="27.75" customHeight="1">
      <c r="B4" s="529" t="s">
        <v>983</v>
      </c>
      <c r="C4" s="529"/>
      <c r="D4" s="529"/>
      <c r="E4" s="529"/>
    </row>
    <row r="5" spans="1:5" s="172" customFormat="1" ht="12.75">
      <c r="A5" s="163"/>
      <c r="B5" s="69"/>
      <c r="C5" s="69"/>
      <c r="D5" s="69"/>
      <c r="E5" s="69"/>
    </row>
    <row r="6" spans="1:5" s="172" customFormat="1" ht="38.25" customHeight="1">
      <c r="A6" s="276"/>
      <c r="B6" s="547" t="s">
        <v>984</v>
      </c>
      <c r="C6" s="477"/>
      <c r="D6" s="477"/>
      <c r="E6" s="477"/>
    </row>
    <row r="7" spans="1:5" s="172" customFormat="1" ht="12.75">
      <c r="A7" s="163"/>
      <c r="B7" s="294"/>
      <c r="C7" s="69"/>
      <c r="D7" s="87"/>
      <c r="E7" s="180"/>
    </row>
    <row r="8" spans="1:5" ht="12.75">
      <c r="A8" s="2"/>
      <c r="B8" s="2"/>
      <c r="C8" s="2"/>
      <c r="D8" s="2"/>
      <c r="E8" s="2"/>
    </row>
    <row r="9" spans="1:5" ht="117" customHeight="1">
      <c r="A9" s="2" t="s">
        <v>323</v>
      </c>
      <c r="B9" s="546" t="s">
        <v>1206</v>
      </c>
      <c r="C9" s="477"/>
      <c r="D9" s="477"/>
      <c r="E9" s="477"/>
    </row>
    <row r="10" spans="1:5" ht="12.75">
      <c r="A10" s="2"/>
      <c r="C10" s="56"/>
      <c r="D10" s="2"/>
      <c r="E10" s="2"/>
    </row>
    <row r="11" spans="1:4" ht="12.75">
      <c r="A11" s="2" t="s">
        <v>323</v>
      </c>
      <c r="B11" s="106"/>
      <c r="C11" s="119" t="s">
        <v>310</v>
      </c>
      <c r="D11" s="119" t="s">
        <v>1279</v>
      </c>
    </row>
    <row r="12" spans="1:4" ht="25.5">
      <c r="A12" s="2" t="s">
        <v>323</v>
      </c>
      <c r="B12" s="86" t="s">
        <v>1476</v>
      </c>
      <c r="C12" s="295"/>
      <c r="D12" s="295"/>
    </row>
    <row r="13" spans="1:4" ht="38.25">
      <c r="A13" s="2" t="s">
        <v>323</v>
      </c>
      <c r="B13" s="86" t="s">
        <v>143</v>
      </c>
      <c r="C13" s="295">
        <v>6090</v>
      </c>
      <c r="D13" s="295">
        <v>6090</v>
      </c>
    </row>
    <row r="14" spans="1:4" ht="25.5">
      <c r="A14" s="2" t="s">
        <v>323</v>
      </c>
      <c r="B14" s="86" t="s">
        <v>144</v>
      </c>
      <c r="C14" s="295">
        <v>6090</v>
      </c>
      <c r="D14" s="295">
        <v>6090</v>
      </c>
    </row>
    <row r="15" spans="1:4" ht="25.5">
      <c r="A15" s="2" t="s">
        <v>323</v>
      </c>
      <c r="B15" s="86" t="s">
        <v>145</v>
      </c>
      <c r="C15" s="295">
        <v>24960</v>
      </c>
      <c r="D15" s="295">
        <v>24960</v>
      </c>
    </row>
    <row r="16" spans="1:4" ht="25.5">
      <c r="A16" s="2" t="s">
        <v>323</v>
      </c>
      <c r="B16" s="8" t="s">
        <v>146</v>
      </c>
      <c r="C16" s="295"/>
      <c r="D16" s="295"/>
    </row>
    <row r="17" spans="1:4" ht="12.75">
      <c r="A17" s="2"/>
      <c r="B17" s="120"/>
      <c r="C17" s="121"/>
      <c r="D17" s="122"/>
    </row>
    <row r="18" spans="1:4" ht="12.75">
      <c r="A18" s="2" t="s">
        <v>323</v>
      </c>
      <c r="B18" s="8" t="s">
        <v>1687</v>
      </c>
      <c r="C18" s="295">
        <f>58+5+3336+727+30</f>
        <v>4156</v>
      </c>
      <c r="D18" s="295">
        <f>RequiredFeesFreshmen</f>
        <v>4156</v>
      </c>
    </row>
    <row r="19" spans="1:4" ht="12.75">
      <c r="A19" s="2"/>
      <c r="B19" s="120"/>
      <c r="C19" s="121"/>
      <c r="D19" s="122"/>
    </row>
    <row r="20" spans="1:4" ht="25.5">
      <c r="A20" s="2" t="s">
        <v>323</v>
      </c>
      <c r="B20" s="8" t="s">
        <v>1688</v>
      </c>
      <c r="C20" s="295">
        <f>SUM(C21:C22)</f>
        <v>8030</v>
      </c>
      <c r="D20" s="295">
        <f>RoomAndBoardFreshmen</f>
        <v>8030</v>
      </c>
    </row>
    <row r="21" spans="1:4" ht="25.5">
      <c r="A21" s="2" t="s">
        <v>323</v>
      </c>
      <c r="B21" s="8" t="s">
        <v>1689</v>
      </c>
      <c r="C21" s="295">
        <v>4746</v>
      </c>
      <c r="D21" s="295">
        <f>RoomOnlyFreshmen</f>
        <v>4746</v>
      </c>
    </row>
    <row r="22" spans="1:4" ht="25.5">
      <c r="A22" s="2" t="s">
        <v>323</v>
      </c>
      <c r="B22" s="8" t="s">
        <v>1690</v>
      </c>
      <c r="C22" s="295">
        <v>3284</v>
      </c>
      <c r="D22" s="295">
        <f>BoardOnlyFreshmen</f>
        <v>3284</v>
      </c>
    </row>
    <row r="24" spans="1:4" ht="38.25" customHeight="1">
      <c r="A24" s="2" t="s">
        <v>323</v>
      </c>
      <c r="B24" s="429" t="s">
        <v>1691</v>
      </c>
      <c r="C24" s="409"/>
      <c r="D24" s="295" t="s">
        <v>162</v>
      </c>
    </row>
    <row r="25" spans="1:4" ht="12.75">
      <c r="A25" s="2"/>
      <c r="B25" s="52"/>
      <c r="C25" s="52"/>
      <c r="D25" s="123"/>
    </row>
    <row r="26" spans="1:5" ht="12.75">
      <c r="A26" s="2" t="s">
        <v>323</v>
      </c>
      <c r="B26" s="374" t="s">
        <v>1692</v>
      </c>
      <c r="C26" s="476"/>
      <c r="D26" s="476"/>
      <c r="E26" s="542"/>
    </row>
    <row r="27" spans="1:5" ht="12.75">
      <c r="A27" s="2"/>
      <c r="B27" s="518"/>
      <c r="C27" s="519"/>
      <c r="D27" s="519"/>
      <c r="E27" s="520"/>
    </row>
    <row r="29" spans="1:5" ht="12.75">
      <c r="A29" s="2" t="s">
        <v>1693</v>
      </c>
      <c r="B29" s="448"/>
      <c r="C29" s="450"/>
      <c r="D29" s="35" t="s">
        <v>312</v>
      </c>
      <c r="E29" s="35" t="s">
        <v>313</v>
      </c>
    </row>
    <row r="30" spans="1:5" ht="25.5" customHeight="1">
      <c r="A30" s="2" t="s">
        <v>1693</v>
      </c>
      <c r="B30" s="544" t="s">
        <v>311</v>
      </c>
      <c r="C30" s="545"/>
      <c r="D30" s="296">
        <v>12</v>
      </c>
      <c r="E30" s="296">
        <v>18</v>
      </c>
    </row>
    <row r="32" spans="1:5" ht="12.75">
      <c r="A32" s="2" t="s">
        <v>1694</v>
      </c>
      <c r="B32" s="448"/>
      <c r="C32" s="450"/>
      <c r="D32" s="35" t="s">
        <v>175</v>
      </c>
      <c r="E32" s="35" t="s">
        <v>176</v>
      </c>
    </row>
    <row r="33" spans="1:5" ht="27.75" customHeight="1">
      <c r="A33" s="2" t="s">
        <v>1694</v>
      </c>
      <c r="B33" s="544" t="s">
        <v>1697</v>
      </c>
      <c r="C33" s="545"/>
      <c r="D33" s="276"/>
      <c r="E33" s="276" t="s">
        <v>1808</v>
      </c>
    </row>
    <row r="35" spans="1:5" ht="12.75" customHeight="1">
      <c r="A35" s="2" t="s">
        <v>1695</v>
      </c>
      <c r="B35" s="374" t="s">
        <v>1698</v>
      </c>
      <c r="C35" s="476"/>
      <c r="D35" s="476"/>
      <c r="E35" s="542"/>
    </row>
    <row r="36" spans="1:5" ht="26.25" customHeight="1">
      <c r="A36" s="2"/>
      <c r="B36" s="518"/>
      <c r="C36" s="519"/>
      <c r="D36" s="519"/>
      <c r="E36" s="520"/>
    </row>
    <row r="37" spans="2:5" ht="12.75">
      <c r="B37" s="385"/>
      <c r="C37" s="385"/>
      <c r="D37" s="385"/>
      <c r="E37" s="385"/>
    </row>
    <row r="38" spans="1:5" ht="12.75">
      <c r="A38" s="2" t="s">
        <v>1696</v>
      </c>
      <c r="B38" s="524" t="s">
        <v>314</v>
      </c>
      <c r="C38" s="399"/>
      <c r="D38" s="399"/>
      <c r="E38" s="399"/>
    </row>
    <row r="39" spans="1:5" ht="25.5">
      <c r="A39" s="2" t="s">
        <v>1696</v>
      </c>
      <c r="B39" s="106"/>
      <c r="C39" s="108" t="s">
        <v>315</v>
      </c>
      <c r="D39" s="108" t="s">
        <v>316</v>
      </c>
      <c r="E39" s="108" t="s">
        <v>317</v>
      </c>
    </row>
    <row r="40" spans="1:5" ht="12.75">
      <c r="A40" s="2" t="s">
        <v>1696</v>
      </c>
      <c r="B40" s="9" t="s">
        <v>318</v>
      </c>
      <c r="C40" s="360">
        <v>1000</v>
      </c>
      <c r="D40" s="360">
        <v>1000</v>
      </c>
      <c r="E40" s="360">
        <v>1000</v>
      </c>
    </row>
    <row r="41" spans="1:5" ht="12.75">
      <c r="A41" s="2" t="s">
        <v>1696</v>
      </c>
      <c r="B41" s="9" t="s">
        <v>319</v>
      </c>
      <c r="C41" s="361"/>
      <c r="D41" s="361"/>
      <c r="E41" s="360">
        <v>4746</v>
      </c>
    </row>
    <row r="42" spans="1:5" ht="12.75">
      <c r="A42" s="2" t="s">
        <v>1696</v>
      </c>
      <c r="B42" s="9" t="s">
        <v>320</v>
      </c>
      <c r="C42" s="361"/>
      <c r="D42" s="360">
        <v>3284</v>
      </c>
      <c r="E42" s="360">
        <v>3284</v>
      </c>
    </row>
    <row r="43" spans="1:5" ht="51">
      <c r="A43" s="2" t="s">
        <v>1696</v>
      </c>
      <c r="B43" s="359" t="s">
        <v>1890</v>
      </c>
      <c r="C43" s="362"/>
      <c r="D43" s="362"/>
      <c r="E43" s="360"/>
    </row>
    <row r="44" spans="1:5" ht="12.75">
      <c r="A44" s="2" t="s">
        <v>1696</v>
      </c>
      <c r="B44" s="9" t="s">
        <v>321</v>
      </c>
      <c r="C44" s="360">
        <v>500</v>
      </c>
      <c r="D44" s="360">
        <v>1000</v>
      </c>
      <c r="E44" s="360">
        <v>500</v>
      </c>
    </row>
    <row r="45" spans="1:5" ht="12.75">
      <c r="A45" s="2" t="s">
        <v>1696</v>
      </c>
      <c r="B45" s="9" t="s">
        <v>322</v>
      </c>
      <c r="C45" s="360">
        <v>1150</v>
      </c>
      <c r="D45" s="360">
        <v>1150</v>
      </c>
      <c r="E45" s="360">
        <v>1150</v>
      </c>
    </row>
    <row r="48" spans="1:3" ht="12.75">
      <c r="A48" s="2" t="s">
        <v>458</v>
      </c>
      <c r="B48" s="543" t="s">
        <v>1813</v>
      </c>
      <c r="C48" s="543"/>
    </row>
    <row r="49" spans="1:3" ht="25.5">
      <c r="A49" s="2" t="s">
        <v>458</v>
      </c>
      <c r="B49" s="86" t="s">
        <v>1203</v>
      </c>
      <c r="C49" s="295"/>
    </row>
    <row r="50" spans="1:3" ht="25.5">
      <c r="A50" s="2" t="s">
        <v>458</v>
      </c>
      <c r="B50" s="86" t="s">
        <v>39</v>
      </c>
      <c r="C50" s="295">
        <v>225</v>
      </c>
    </row>
    <row r="51" spans="1:3" ht="25.5">
      <c r="A51" s="2" t="s">
        <v>458</v>
      </c>
      <c r="B51" s="86" t="s">
        <v>144</v>
      </c>
      <c r="C51" s="295">
        <v>225</v>
      </c>
    </row>
    <row r="52" spans="1:3" ht="25.5">
      <c r="A52" s="2" t="s">
        <v>458</v>
      </c>
      <c r="B52" s="86" t="s">
        <v>1205</v>
      </c>
      <c r="C52" s="295">
        <v>840</v>
      </c>
    </row>
    <row r="53" spans="1:3" ht="25.5">
      <c r="A53" s="2" t="s">
        <v>458</v>
      </c>
      <c r="B53" s="86" t="s">
        <v>1204</v>
      </c>
      <c r="C53" s="295"/>
    </row>
  </sheetData>
  <sheetProtection/>
  <mergeCells count="17">
    <mergeCell ref="A1:E1"/>
    <mergeCell ref="A2:E2"/>
    <mergeCell ref="B37:E37"/>
    <mergeCell ref="B4:E4"/>
    <mergeCell ref="B9:E9"/>
    <mergeCell ref="B24:C24"/>
    <mergeCell ref="B29:C29"/>
    <mergeCell ref="B6:E6"/>
    <mergeCell ref="B26:E26"/>
    <mergeCell ref="B27:E27"/>
    <mergeCell ref="B35:E35"/>
    <mergeCell ref="B38:E38"/>
    <mergeCell ref="B48:C48"/>
    <mergeCell ref="B30:C30"/>
    <mergeCell ref="B32:C32"/>
    <mergeCell ref="B33:C33"/>
    <mergeCell ref="B36:E3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158"/>
  <sheetViews>
    <sheetView zoomScalePageLayoutView="0" workbookViewId="0" topLeftCell="A34">
      <selection activeCell="D42" sqref="D4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23.25">
      <c r="A1" s="397" t="s">
        <v>1972</v>
      </c>
      <c r="B1" s="397"/>
      <c r="C1" s="397"/>
      <c r="D1" s="397"/>
      <c r="E1" s="397"/>
      <c r="F1" s="397"/>
    </row>
    <row r="2" spans="1:6" ht="18">
      <c r="A2" s="398" t="s">
        <v>459</v>
      </c>
      <c r="B2" s="398"/>
      <c r="C2" s="398"/>
      <c r="D2" s="398"/>
      <c r="E2" s="398"/>
      <c r="F2" s="398"/>
    </row>
    <row r="4" spans="2:4" ht="15.75">
      <c r="B4" s="523" t="s">
        <v>1906</v>
      </c>
      <c r="C4" s="369"/>
      <c r="D4" s="369"/>
    </row>
    <row r="5" spans="1:6" ht="116.25" customHeight="1">
      <c r="A5" s="2"/>
      <c r="B5" s="455" t="s">
        <v>1207</v>
      </c>
      <c r="C5" s="368"/>
      <c r="D5" s="368"/>
      <c r="E5" s="368"/>
      <c r="F5" s="368"/>
    </row>
    <row r="6" spans="1:6" ht="12.75">
      <c r="A6" s="2"/>
      <c r="B6" s="105"/>
      <c r="C6" s="7"/>
      <c r="D6" s="7"/>
      <c r="E6" s="7"/>
      <c r="F6" s="7"/>
    </row>
    <row r="7" spans="1:6" ht="25.5">
      <c r="A7" s="2" t="s">
        <v>115</v>
      </c>
      <c r="B7" s="573"/>
      <c r="C7" s="574"/>
      <c r="D7" s="574"/>
      <c r="E7" s="67" t="s">
        <v>1208</v>
      </c>
      <c r="F7" s="112" t="s">
        <v>1209</v>
      </c>
    </row>
    <row r="8" spans="1:6" ht="27" customHeight="1">
      <c r="A8" s="2" t="s">
        <v>115</v>
      </c>
      <c r="B8" s="456" t="s">
        <v>1477</v>
      </c>
      <c r="C8" s="406"/>
      <c r="D8" s="406"/>
      <c r="E8" s="297" t="s">
        <v>1808</v>
      </c>
      <c r="F8" s="297"/>
    </row>
    <row r="9" spans="1:6" ht="12.75">
      <c r="A9" s="2"/>
      <c r="B9" s="181"/>
      <c r="C9" s="52"/>
      <c r="D9" s="52"/>
      <c r="E9" s="182"/>
      <c r="F9" s="182"/>
    </row>
    <row r="10" spans="1:6" ht="12.75">
      <c r="A10" s="2" t="s">
        <v>117</v>
      </c>
      <c r="B10" s="477" t="s">
        <v>1350</v>
      </c>
      <c r="C10" s="477"/>
      <c r="D10" s="477"/>
      <c r="E10" s="477"/>
      <c r="F10" s="477"/>
    </row>
    <row r="11" spans="1:4" ht="12.75">
      <c r="A11" s="2" t="s">
        <v>117</v>
      </c>
      <c r="B11" s="561" t="s">
        <v>1351</v>
      </c>
      <c r="C11" s="561"/>
      <c r="D11" s="297" t="s">
        <v>1808</v>
      </c>
    </row>
    <row r="12" spans="1:4" ht="12.75">
      <c r="A12" s="2" t="s">
        <v>117</v>
      </c>
      <c r="B12" s="453" t="s">
        <v>1352</v>
      </c>
      <c r="C12" s="453"/>
      <c r="D12" s="297"/>
    </row>
    <row r="13" spans="1:4" ht="12.75">
      <c r="A13" s="2" t="s">
        <v>117</v>
      </c>
      <c r="B13" s="453" t="s">
        <v>1353</v>
      </c>
      <c r="C13" s="453"/>
      <c r="D13" s="297"/>
    </row>
    <row r="15" spans="1:6" ht="59.25">
      <c r="A15" s="2" t="s">
        <v>115</v>
      </c>
      <c r="B15" s="555"/>
      <c r="C15" s="556"/>
      <c r="D15" s="557"/>
      <c r="E15" s="37" t="s">
        <v>1912</v>
      </c>
      <c r="F15" s="37" t="s">
        <v>1913</v>
      </c>
    </row>
    <row r="16" spans="1:6" ht="15">
      <c r="A16" s="2" t="s">
        <v>115</v>
      </c>
      <c r="B16" s="558" t="s">
        <v>1907</v>
      </c>
      <c r="C16" s="559"/>
      <c r="D16" s="559"/>
      <c r="E16" s="559"/>
      <c r="F16" s="560"/>
    </row>
    <row r="17" spans="1:6" ht="12.75">
      <c r="A17" s="2" t="s">
        <v>115</v>
      </c>
      <c r="B17" s="429" t="s">
        <v>1908</v>
      </c>
      <c r="C17" s="408"/>
      <c r="D17" s="409"/>
      <c r="E17" s="295">
        <v>1554751</v>
      </c>
      <c r="F17" s="295">
        <v>421750</v>
      </c>
    </row>
    <row r="18" spans="1:6" ht="26.25" customHeight="1">
      <c r="A18" s="2" t="s">
        <v>115</v>
      </c>
      <c r="B18" s="429" t="s">
        <v>147</v>
      </c>
      <c r="C18" s="408"/>
      <c r="D18" s="409"/>
      <c r="E18" s="295">
        <v>2917347</v>
      </c>
      <c r="F18" s="295">
        <v>0</v>
      </c>
    </row>
    <row r="19" spans="1:6" ht="40.5" customHeight="1">
      <c r="A19" s="2" t="s">
        <v>115</v>
      </c>
      <c r="B19" s="429" t="s">
        <v>628</v>
      </c>
      <c r="C19" s="408"/>
      <c r="D19" s="409"/>
      <c r="E19" s="295">
        <v>8013003</v>
      </c>
      <c r="F19" s="295">
        <v>2379345</v>
      </c>
    </row>
    <row r="20" spans="1:6" ht="27.75" customHeight="1">
      <c r="A20" s="2" t="s">
        <v>115</v>
      </c>
      <c r="B20" s="429" t="s">
        <v>1478</v>
      </c>
      <c r="C20" s="408"/>
      <c r="D20" s="409"/>
      <c r="E20" s="295">
        <v>0</v>
      </c>
      <c r="F20" s="295">
        <v>2408149</v>
      </c>
    </row>
    <row r="21" spans="1:6" ht="12.75">
      <c r="A21" s="2" t="s">
        <v>115</v>
      </c>
      <c r="B21" s="562" t="s">
        <v>1226</v>
      </c>
      <c r="C21" s="563"/>
      <c r="D21" s="564"/>
      <c r="E21" s="298">
        <f>SUM(E17:E20)</f>
        <v>12485101</v>
      </c>
      <c r="F21" s="298">
        <f>SUM(F17:F20)</f>
        <v>5209244</v>
      </c>
    </row>
    <row r="22" spans="1:6" ht="15">
      <c r="A22" s="2" t="s">
        <v>115</v>
      </c>
      <c r="B22" s="558" t="s">
        <v>1227</v>
      </c>
      <c r="C22" s="559"/>
      <c r="D22" s="559"/>
      <c r="E22" s="559"/>
      <c r="F22" s="560"/>
    </row>
    <row r="23" spans="1:6" ht="12.75">
      <c r="A23" s="2" t="s">
        <v>115</v>
      </c>
      <c r="B23" s="429" t="s">
        <v>1367</v>
      </c>
      <c r="C23" s="408"/>
      <c r="D23" s="409"/>
      <c r="E23" s="295">
        <v>3906051</v>
      </c>
      <c r="F23" s="295">
        <v>5936196</v>
      </c>
    </row>
    <row r="24" spans="1:6" ht="12.75">
      <c r="A24" s="2" t="s">
        <v>115</v>
      </c>
      <c r="B24" s="429" t="s">
        <v>40</v>
      </c>
      <c r="C24" s="408"/>
      <c r="D24" s="409"/>
      <c r="E24" s="295">
        <v>176434</v>
      </c>
      <c r="F24" s="106"/>
    </row>
    <row r="25" spans="1:6" ht="25.5" customHeight="1">
      <c r="A25" s="2" t="s">
        <v>115</v>
      </c>
      <c r="B25" s="429" t="s">
        <v>148</v>
      </c>
      <c r="C25" s="408"/>
      <c r="D25" s="409"/>
      <c r="E25" s="295">
        <v>0</v>
      </c>
      <c r="F25" s="295">
        <v>0</v>
      </c>
    </row>
    <row r="26" spans="1:6" ht="12.75">
      <c r="A26" s="2" t="s">
        <v>115</v>
      </c>
      <c r="B26" s="562" t="s">
        <v>1368</v>
      </c>
      <c r="C26" s="563"/>
      <c r="D26" s="564"/>
      <c r="E26" s="298">
        <f>SUM(E23:E25)</f>
        <v>4082485</v>
      </c>
      <c r="F26" s="298">
        <f>SUM(F23,F25)</f>
        <v>5936196</v>
      </c>
    </row>
    <row r="27" spans="1:6" ht="15">
      <c r="A27" s="2" t="s">
        <v>115</v>
      </c>
      <c r="B27" s="558" t="s">
        <v>1568</v>
      </c>
      <c r="C27" s="559"/>
      <c r="D27" s="559"/>
      <c r="E27" s="559"/>
      <c r="F27" s="560"/>
    </row>
    <row r="28" spans="1:6" ht="12.75">
      <c r="A28" s="2" t="s">
        <v>115</v>
      </c>
      <c r="B28" s="407" t="s">
        <v>1369</v>
      </c>
      <c r="C28" s="451"/>
      <c r="D28" s="452"/>
      <c r="E28" s="295">
        <v>0</v>
      </c>
      <c r="F28" s="295">
        <v>5624150</v>
      </c>
    </row>
    <row r="29" spans="1:6" ht="38.25" customHeight="1">
      <c r="A29" s="2" t="s">
        <v>115</v>
      </c>
      <c r="B29" s="407" t="s">
        <v>149</v>
      </c>
      <c r="C29" s="451"/>
      <c r="D29" s="452"/>
      <c r="E29" s="295">
        <v>440605</v>
      </c>
      <c r="F29" s="295">
        <v>0</v>
      </c>
    </row>
    <row r="30" spans="1:6" ht="12.75">
      <c r="A30" s="2" t="s">
        <v>115</v>
      </c>
      <c r="B30" s="407" t="s">
        <v>1370</v>
      </c>
      <c r="C30" s="451"/>
      <c r="D30" s="452"/>
      <c r="E30" s="295">
        <v>0</v>
      </c>
      <c r="F30" s="295">
        <v>5030605</v>
      </c>
    </row>
    <row r="32" spans="1:6" ht="87" customHeight="1">
      <c r="A32" s="2" t="s">
        <v>116</v>
      </c>
      <c r="B32" s="529" t="s">
        <v>228</v>
      </c>
      <c r="C32" s="477"/>
      <c r="D32" s="477"/>
      <c r="E32" s="477"/>
      <c r="F32" s="477"/>
    </row>
    <row r="33" spans="1:6" ht="36">
      <c r="A33" s="2" t="s">
        <v>116</v>
      </c>
      <c r="B33" s="130"/>
      <c r="C33" s="131"/>
      <c r="D33" s="32" t="s">
        <v>1371</v>
      </c>
      <c r="E33" s="32" t="s">
        <v>1372</v>
      </c>
      <c r="F33" s="32" t="s">
        <v>1373</v>
      </c>
    </row>
    <row r="34" spans="1:6" ht="36">
      <c r="A34" s="2" t="s">
        <v>116</v>
      </c>
      <c r="B34" s="124" t="s">
        <v>1374</v>
      </c>
      <c r="C34" s="125" t="s">
        <v>1210</v>
      </c>
      <c r="D34" s="333">
        <v>1345</v>
      </c>
      <c r="E34" s="333">
        <v>5671</v>
      </c>
      <c r="F34" s="333"/>
    </row>
    <row r="35" spans="1:6" ht="24.75" customHeight="1">
      <c r="A35" s="2" t="s">
        <v>116</v>
      </c>
      <c r="B35" s="124" t="s">
        <v>1377</v>
      </c>
      <c r="C35" s="125" t="s">
        <v>150</v>
      </c>
      <c r="D35" s="333">
        <v>883</v>
      </c>
      <c r="E35" s="333">
        <v>2670</v>
      </c>
      <c r="F35" s="333"/>
    </row>
    <row r="36" spans="1:6" ht="24">
      <c r="A36" s="2" t="s">
        <v>116</v>
      </c>
      <c r="B36" s="124" t="s">
        <v>1378</v>
      </c>
      <c r="C36" s="125" t="s">
        <v>1379</v>
      </c>
      <c r="D36" s="333">
        <v>397</v>
      </c>
      <c r="E36" s="333">
        <v>1588</v>
      </c>
      <c r="F36" s="333"/>
    </row>
    <row r="37" spans="1:6" ht="24">
      <c r="A37" s="2" t="s">
        <v>116</v>
      </c>
      <c r="B37" s="124" t="s">
        <v>1380</v>
      </c>
      <c r="C37" s="125" t="s">
        <v>151</v>
      </c>
      <c r="D37" s="333">
        <v>397</v>
      </c>
      <c r="E37" s="333">
        <v>1588</v>
      </c>
      <c r="F37" s="333"/>
    </row>
    <row r="38" spans="1:6" ht="24">
      <c r="A38" s="2" t="s">
        <v>116</v>
      </c>
      <c r="B38" s="124" t="s">
        <v>1381</v>
      </c>
      <c r="C38" s="125" t="s">
        <v>399</v>
      </c>
      <c r="D38" s="333">
        <v>301</v>
      </c>
      <c r="E38" s="333">
        <v>1280</v>
      </c>
      <c r="F38" s="333"/>
    </row>
    <row r="39" spans="1:6" ht="24">
      <c r="A39" s="2" t="s">
        <v>116</v>
      </c>
      <c r="B39" s="124" t="s">
        <v>1382</v>
      </c>
      <c r="C39" s="125" t="s">
        <v>400</v>
      </c>
      <c r="D39" s="333">
        <v>314</v>
      </c>
      <c r="E39" s="333">
        <v>1372</v>
      </c>
      <c r="F39" s="333"/>
    </row>
    <row r="40" spans="1:6" ht="24">
      <c r="A40" s="2" t="s">
        <v>116</v>
      </c>
      <c r="B40" s="124" t="s">
        <v>1383</v>
      </c>
      <c r="C40" s="125" t="s">
        <v>401</v>
      </c>
      <c r="D40" s="333">
        <v>188</v>
      </c>
      <c r="E40" s="333">
        <v>525</v>
      </c>
      <c r="F40" s="333"/>
    </row>
    <row r="41" spans="1:6" ht="36">
      <c r="A41" s="2" t="s">
        <v>116</v>
      </c>
      <c r="B41" s="124" t="s">
        <v>1384</v>
      </c>
      <c r="C41" s="125" t="s">
        <v>1396</v>
      </c>
      <c r="D41" s="333">
        <v>191</v>
      </c>
      <c r="E41" s="333">
        <v>748</v>
      </c>
      <c r="F41" s="333"/>
    </row>
    <row r="42" spans="1:6" ht="72">
      <c r="A42" s="2" t="s">
        <v>116</v>
      </c>
      <c r="B42" s="124" t="s">
        <v>1385</v>
      </c>
      <c r="C42" s="125" t="s">
        <v>402</v>
      </c>
      <c r="D42" s="299">
        <v>0.85</v>
      </c>
      <c r="E42" s="299">
        <v>0.86</v>
      </c>
      <c r="F42" s="299"/>
    </row>
    <row r="43" spans="1:6" ht="48">
      <c r="A43" s="2" t="s">
        <v>116</v>
      </c>
      <c r="B43" s="124" t="s">
        <v>1386</v>
      </c>
      <c r="C43" s="125" t="s">
        <v>1855</v>
      </c>
      <c r="D43" s="295">
        <v>12980</v>
      </c>
      <c r="E43" s="295">
        <v>13302</v>
      </c>
      <c r="F43" s="295"/>
    </row>
    <row r="44" spans="1:6" ht="24">
      <c r="A44" s="2" t="s">
        <v>116</v>
      </c>
      <c r="B44" s="126" t="s">
        <v>1387</v>
      </c>
      <c r="C44" s="127" t="s">
        <v>403</v>
      </c>
      <c r="D44" s="295">
        <v>12376</v>
      </c>
      <c r="E44" s="295">
        <v>12884</v>
      </c>
      <c r="F44" s="295"/>
    </row>
    <row r="45" spans="1:6" ht="36.75" customHeight="1">
      <c r="A45" s="2" t="s">
        <v>116</v>
      </c>
      <c r="B45" s="124" t="s">
        <v>1388</v>
      </c>
      <c r="C45" s="125" t="s">
        <v>102</v>
      </c>
      <c r="D45" s="295">
        <v>2701</v>
      </c>
      <c r="E45" s="295">
        <v>2959</v>
      </c>
      <c r="F45" s="295"/>
    </row>
    <row r="46" spans="1:6" ht="48">
      <c r="A46" s="2" t="s">
        <v>116</v>
      </c>
      <c r="B46" s="124" t="s">
        <v>1389</v>
      </c>
      <c r="C46" s="125" t="s">
        <v>404</v>
      </c>
      <c r="D46" s="295">
        <v>2330</v>
      </c>
      <c r="E46" s="295">
        <v>2830</v>
      </c>
      <c r="F46" s="295"/>
    </row>
    <row r="48" spans="1:6" ht="75" customHeight="1">
      <c r="A48" s="2" t="s">
        <v>1395</v>
      </c>
      <c r="B48" s="568" t="s">
        <v>1848</v>
      </c>
      <c r="C48" s="543"/>
      <c r="D48" s="543"/>
      <c r="E48" s="543"/>
      <c r="F48" s="543"/>
    </row>
    <row r="49" spans="1:6" ht="36">
      <c r="A49" s="2" t="s">
        <v>1395</v>
      </c>
      <c r="B49" s="130"/>
      <c r="C49" s="131"/>
      <c r="D49" s="32" t="s">
        <v>1371</v>
      </c>
      <c r="E49" s="32" t="s">
        <v>1390</v>
      </c>
      <c r="F49" s="32" t="s">
        <v>1391</v>
      </c>
    </row>
    <row r="50" spans="1:6" ht="49.5" customHeight="1">
      <c r="A50" s="2" t="s">
        <v>1395</v>
      </c>
      <c r="B50" s="124" t="s">
        <v>1392</v>
      </c>
      <c r="C50" s="125" t="s">
        <v>405</v>
      </c>
      <c r="D50" s="296">
        <v>22</v>
      </c>
      <c r="E50" s="296">
        <v>259</v>
      </c>
      <c r="F50" s="296"/>
    </row>
    <row r="51" spans="1:6" ht="36">
      <c r="A51" s="2" t="s">
        <v>1395</v>
      </c>
      <c r="B51" s="124" t="s">
        <v>1393</v>
      </c>
      <c r="C51" s="125" t="s">
        <v>406</v>
      </c>
      <c r="D51" s="295">
        <v>5854</v>
      </c>
      <c r="E51" s="295">
        <v>5403</v>
      </c>
      <c r="F51" s="295"/>
    </row>
    <row r="52" spans="1:6" ht="36">
      <c r="A52" s="2" t="s">
        <v>1395</v>
      </c>
      <c r="B52" s="124" t="s">
        <v>1394</v>
      </c>
      <c r="C52" s="125" t="s">
        <v>407</v>
      </c>
      <c r="D52" s="296">
        <v>72</v>
      </c>
      <c r="E52" s="296">
        <v>319</v>
      </c>
      <c r="F52" s="296"/>
    </row>
    <row r="53" spans="1:6" ht="36">
      <c r="A53" s="2" t="s">
        <v>1395</v>
      </c>
      <c r="B53" s="124" t="s">
        <v>1349</v>
      </c>
      <c r="C53" s="125" t="s">
        <v>1320</v>
      </c>
      <c r="D53" s="295">
        <v>14521</v>
      </c>
      <c r="E53" s="295">
        <v>15770</v>
      </c>
      <c r="F53" s="295"/>
    </row>
    <row r="54" ht="12.75">
      <c r="A54"/>
    </row>
    <row r="55" spans="1:6" ht="12.75">
      <c r="A55" s="2" t="s">
        <v>117</v>
      </c>
      <c r="B55" s="190" t="s">
        <v>946</v>
      </c>
      <c r="C55" s="191"/>
      <c r="D55" s="192"/>
      <c r="E55" s="192"/>
      <c r="F55" s="192"/>
    </row>
    <row r="56" spans="1:6" ht="12.75">
      <c r="A56" s="2"/>
      <c r="B56" s="190"/>
      <c r="C56" s="190"/>
      <c r="D56" s="192"/>
      <c r="E56" s="192"/>
      <c r="F56" s="192"/>
    </row>
    <row r="57" spans="1:6" ht="27" customHeight="1">
      <c r="A57" s="2"/>
      <c r="B57" s="190"/>
      <c r="C57" s="549" t="s">
        <v>1211</v>
      </c>
      <c r="D57" s="550"/>
      <c r="E57" s="550"/>
      <c r="F57" s="550"/>
    </row>
    <row r="58" spans="1:6" ht="114.75">
      <c r="A58" s="2"/>
      <c r="B58" s="190"/>
      <c r="C58" s="239" t="s">
        <v>1329</v>
      </c>
      <c r="D58" s="192"/>
      <c r="E58" s="192"/>
      <c r="F58" s="192"/>
    </row>
    <row r="59" spans="1:6" ht="38.25">
      <c r="A59" s="2"/>
      <c r="B59" s="190"/>
      <c r="C59" s="239" t="s">
        <v>1849</v>
      </c>
      <c r="D59" s="192"/>
      <c r="E59" s="192"/>
      <c r="F59" s="192"/>
    </row>
    <row r="60" spans="2:6" ht="12.75">
      <c r="B60" s="6"/>
      <c r="C60" s="6"/>
      <c r="D60" s="6"/>
      <c r="E60" s="6"/>
      <c r="F60" s="6"/>
    </row>
    <row r="61" spans="1:6" ht="66" customHeight="1">
      <c r="A61" s="2" t="s">
        <v>118</v>
      </c>
      <c r="B61" s="567" t="s">
        <v>29</v>
      </c>
      <c r="C61" s="567"/>
      <c r="D61" s="567"/>
      <c r="E61" s="567"/>
      <c r="F61" s="299">
        <v>0.32</v>
      </c>
    </row>
    <row r="62" spans="1:6" ht="63" customHeight="1">
      <c r="A62" s="2" t="s">
        <v>30</v>
      </c>
      <c r="B62" s="551" t="s">
        <v>33</v>
      </c>
      <c r="C62" s="551"/>
      <c r="D62" s="551"/>
      <c r="E62" s="552"/>
      <c r="F62" s="299">
        <v>0.32</v>
      </c>
    </row>
    <row r="63" spans="1:6" ht="30" customHeight="1">
      <c r="A63" s="2" t="s">
        <v>119</v>
      </c>
      <c r="B63" s="567" t="s">
        <v>32</v>
      </c>
      <c r="C63" s="567"/>
      <c r="D63" s="567"/>
      <c r="E63" s="567"/>
      <c r="F63" s="295">
        <v>15602</v>
      </c>
    </row>
    <row r="64" spans="1:6" ht="64.5" customHeight="1">
      <c r="A64" s="2" t="s">
        <v>31</v>
      </c>
      <c r="B64" s="553" t="s">
        <v>34</v>
      </c>
      <c r="C64" s="553"/>
      <c r="D64" s="553"/>
      <c r="E64" s="554"/>
      <c r="F64" s="295">
        <v>12234</v>
      </c>
    </row>
    <row r="65" spans="1:5" ht="12.75">
      <c r="A65" s="2"/>
      <c r="B65" s="14"/>
      <c r="C65" s="14"/>
      <c r="D65" s="14"/>
      <c r="E65" s="14"/>
    </row>
    <row r="66" spans="2:6" ht="27.75" customHeight="1">
      <c r="B66" s="575" t="s">
        <v>395</v>
      </c>
      <c r="C66" s="368"/>
      <c r="D66" s="368"/>
      <c r="E66" s="368"/>
      <c r="F66" s="368"/>
    </row>
    <row r="67" spans="2:6" ht="15.75">
      <c r="B67" s="132"/>
      <c r="C67" s="7"/>
      <c r="D67" s="7"/>
      <c r="E67" s="7"/>
      <c r="F67" s="7"/>
    </row>
    <row r="68" spans="1:6" ht="26.25" customHeight="1">
      <c r="A68" s="2" t="s">
        <v>120</v>
      </c>
      <c r="B68" s="477" t="s">
        <v>947</v>
      </c>
      <c r="C68" s="477"/>
      <c r="D68" s="477"/>
      <c r="E68" s="477"/>
      <c r="F68" s="477"/>
    </row>
    <row r="69" spans="1:5" ht="12.75">
      <c r="A69" s="2" t="s">
        <v>120</v>
      </c>
      <c r="B69" s="453" t="s">
        <v>1321</v>
      </c>
      <c r="C69" s="453"/>
      <c r="D69" s="453"/>
      <c r="E69" s="297" t="s">
        <v>951</v>
      </c>
    </row>
    <row r="70" spans="1:5" ht="12.75">
      <c r="A70" s="2" t="s">
        <v>120</v>
      </c>
      <c r="B70" s="453" t="s">
        <v>1322</v>
      </c>
      <c r="C70" s="453"/>
      <c r="D70" s="453"/>
      <c r="E70" s="297" t="s">
        <v>951</v>
      </c>
    </row>
    <row r="71" spans="1:5" ht="12.75">
      <c r="A71" s="2" t="s">
        <v>120</v>
      </c>
      <c r="B71" s="453" t="s">
        <v>1323</v>
      </c>
      <c r="C71" s="453"/>
      <c r="D71" s="453"/>
      <c r="E71" s="297" t="s">
        <v>951</v>
      </c>
    </row>
    <row r="73" spans="1:6" ht="40.5" customHeight="1">
      <c r="A73" s="2" t="s">
        <v>120</v>
      </c>
      <c r="B73" s="406" t="s">
        <v>1324</v>
      </c>
      <c r="C73" s="406"/>
      <c r="D73" s="406"/>
      <c r="E73" s="406"/>
      <c r="F73" s="296" t="s">
        <v>951</v>
      </c>
    </row>
    <row r="74" spans="2:6" ht="12.75">
      <c r="B74" s="7"/>
      <c r="C74" s="56"/>
      <c r="D74" s="7"/>
      <c r="E74" s="7"/>
      <c r="F74" s="31"/>
    </row>
    <row r="75" spans="1:6" ht="25.5" customHeight="1">
      <c r="A75" s="2" t="s">
        <v>120</v>
      </c>
      <c r="B75" s="406" t="s">
        <v>1325</v>
      </c>
      <c r="C75" s="406"/>
      <c r="D75" s="406"/>
      <c r="E75" s="406"/>
      <c r="F75" s="295" t="s">
        <v>951</v>
      </c>
    </row>
    <row r="76" ht="12.75">
      <c r="F76" s="133"/>
    </row>
    <row r="77" spans="1:6" ht="26.25" customHeight="1">
      <c r="A77" s="2" t="s">
        <v>120</v>
      </c>
      <c r="B77" s="406" t="s">
        <v>948</v>
      </c>
      <c r="C77" s="406"/>
      <c r="D77" s="406"/>
      <c r="E77" s="406"/>
      <c r="F77" s="295" t="s">
        <v>951</v>
      </c>
    </row>
    <row r="78" spans="1:6" ht="26.25" customHeight="1">
      <c r="A78" s="2"/>
      <c r="B78" s="52"/>
      <c r="C78" s="52"/>
      <c r="D78" s="52"/>
      <c r="E78" s="52"/>
      <c r="F78" s="123"/>
    </row>
    <row r="79" spans="1:6" ht="12.75" customHeight="1">
      <c r="A79" s="2" t="s">
        <v>121</v>
      </c>
      <c r="B79" s="477" t="s">
        <v>396</v>
      </c>
      <c r="C79" s="477"/>
      <c r="D79" s="477"/>
      <c r="E79" s="477"/>
      <c r="F79" s="477"/>
    </row>
    <row r="80" spans="1:5" ht="12.75">
      <c r="A80" s="2" t="s">
        <v>121</v>
      </c>
      <c r="B80" s="566" t="s">
        <v>397</v>
      </c>
      <c r="C80" s="449"/>
      <c r="D80" s="450"/>
      <c r="E80" s="297" t="s">
        <v>951</v>
      </c>
    </row>
    <row r="81" spans="1:5" ht="12.75">
      <c r="A81" s="2" t="s">
        <v>121</v>
      </c>
      <c r="B81" s="566" t="s">
        <v>1357</v>
      </c>
      <c r="C81" s="449"/>
      <c r="D81" s="450"/>
      <c r="E81" s="297" t="s">
        <v>951</v>
      </c>
    </row>
    <row r="82" spans="1:5" ht="12.75">
      <c r="A82" s="2" t="s">
        <v>121</v>
      </c>
      <c r="B82" s="569" t="s">
        <v>1814</v>
      </c>
      <c r="C82" s="570"/>
      <c r="D82" s="571"/>
      <c r="E82" s="297" t="s">
        <v>951</v>
      </c>
    </row>
    <row r="83" spans="1:5" ht="12.75">
      <c r="A83" s="2" t="s">
        <v>121</v>
      </c>
      <c r="B83" s="569" t="s">
        <v>1815</v>
      </c>
      <c r="C83" s="570"/>
      <c r="D83" s="571"/>
      <c r="E83" s="297" t="s">
        <v>951</v>
      </c>
    </row>
    <row r="84" spans="1:5" ht="12.75" customHeight="1">
      <c r="A84" s="2" t="s">
        <v>121</v>
      </c>
      <c r="B84" s="374" t="s">
        <v>791</v>
      </c>
      <c r="C84" s="476"/>
      <c r="D84" s="476"/>
      <c r="E84" s="542"/>
    </row>
    <row r="85" spans="1:5" ht="21.75" customHeight="1">
      <c r="A85" s="2"/>
      <c r="B85" s="518"/>
      <c r="C85" s="519"/>
      <c r="D85" s="519"/>
      <c r="E85" s="520"/>
    </row>
    <row r="87" ht="15.75">
      <c r="B87" s="36" t="s">
        <v>1354</v>
      </c>
    </row>
    <row r="88" ht="12.75" customHeight="1">
      <c r="B88" s="36"/>
    </row>
    <row r="89" spans="1:6" ht="12.75">
      <c r="A89" s="2" t="s">
        <v>122</v>
      </c>
      <c r="B89" s="477" t="s">
        <v>949</v>
      </c>
      <c r="C89" s="477"/>
      <c r="D89" s="477"/>
      <c r="E89" s="477"/>
      <c r="F89" s="477"/>
    </row>
    <row r="90" spans="1:5" ht="12.75">
      <c r="A90" s="2" t="s">
        <v>122</v>
      </c>
      <c r="B90" s="566" t="s">
        <v>1355</v>
      </c>
      <c r="C90" s="449"/>
      <c r="D90" s="450"/>
      <c r="E90" s="297" t="s">
        <v>1808</v>
      </c>
    </row>
    <row r="91" spans="1:5" ht="12.75">
      <c r="A91" s="2" t="s">
        <v>122</v>
      </c>
      <c r="B91" s="566" t="s">
        <v>1356</v>
      </c>
      <c r="C91" s="449"/>
      <c r="D91" s="450"/>
      <c r="E91" s="297"/>
    </row>
    <row r="92" spans="1:5" ht="12.75">
      <c r="A92" s="2" t="s">
        <v>122</v>
      </c>
      <c r="B92" s="566" t="s">
        <v>1357</v>
      </c>
      <c r="C92" s="449"/>
      <c r="D92" s="450"/>
      <c r="E92" s="297"/>
    </row>
    <row r="93" spans="1:5" ht="12.75">
      <c r="A93" s="2" t="s">
        <v>122</v>
      </c>
      <c r="B93" s="566" t="s">
        <v>1358</v>
      </c>
      <c r="C93" s="449"/>
      <c r="D93" s="450"/>
      <c r="E93" s="297"/>
    </row>
    <row r="94" spans="1:5" ht="12.75">
      <c r="A94" s="2" t="s">
        <v>122</v>
      </c>
      <c r="B94" s="569" t="s">
        <v>1816</v>
      </c>
      <c r="C94" s="570"/>
      <c r="D94" s="571"/>
      <c r="E94" s="297"/>
    </row>
    <row r="95" spans="1:5" ht="12.75">
      <c r="A95" s="2" t="s">
        <v>122</v>
      </c>
      <c r="B95" s="566" t="s">
        <v>1359</v>
      </c>
      <c r="C95" s="449"/>
      <c r="D95" s="450"/>
      <c r="E95" s="297"/>
    </row>
    <row r="96" spans="1:5" ht="12.75" customHeight="1">
      <c r="A96" s="2" t="s">
        <v>122</v>
      </c>
      <c r="B96" s="374" t="s">
        <v>791</v>
      </c>
      <c r="C96" s="476"/>
      <c r="D96" s="476"/>
      <c r="E96" s="542"/>
    </row>
    <row r="97" spans="1:5" ht="24.75" customHeight="1">
      <c r="A97" s="2"/>
      <c r="B97" s="518"/>
      <c r="C97" s="519"/>
      <c r="D97" s="519"/>
      <c r="E97" s="520"/>
    </row>
    <row r="99" spans="1:6" ht="12.75">
      <c r="A99" s="2" t="s">
        <v>123</v>
      </c>
      <c r="B99" s="548" t="s">
        <v>1360</v>
      </c>
      <c r="C99" s="548"/>
      <c r="D99" s="548"/>
      <c r="E99" s="548"/>
      <c r="F99" s="548"/>
    </row>
    <row r="100" spans="1:6" ht="12.75">
      <c r="A100" s="2" t="s">
        <v>123</v>
      </c>
      <c r="B100" s="453" t="s">
        <v>1361</v>
      </c>
      <c r="C100" s="453"/>
      <c r="D100" s="453"/>
      <c r="E100" s="286">
        <v>39128</v>
      </c>
      <c r="F100" s="134"/>
    </row>
    <row r="101" spans="1:6" ht="12.75">
      <c r="A101" s="2" t="s">
        <v>123</v>
      </c>
      <c r="B101" s="453" t="s">
        <v>1362</v>
      </c>
      <c r="C101" s="453"/>
      <c r="D101" s="453"/>
      <c r="E101" s="286"/>
      <c r="F101" s="49"/>
    </row>
    <row r="102" spans="1:6" ht="27" customHeight="1">
      <c r="A102" s="2" t="s">
        <v>123</v>
      </c>
      <c r="B102" s="406" t="s">
        <v>1363</v>
      </c>
      <c r="C102" s="406"/>
      <c r="D102" s="406"/>
      <c r="E102" s="297"/>
      <c r="F102" s="49"/>
    </row>
    <row r="104" spans="1:6" ht="12.75">
      <c r="A104" s="2" t="s">
        <v>124</v>
      </c>
      <c r="B104" s="477" t="s">
        <v>103</v>
      </c>
      <c r="C104" s="477"/>
      <c r="D104" s="477"/>
      <c r="E104" s="477"/>
      <c r="F104" s="477"/>
    </row>
    <row r="105" spans="1:6" ht="12.75">
      <c r="A105" s="2" t="s">
        <v>124</v>
      </c>
      <c r="B105" s="45" t="s">
        <v>1374</v>
      </c>
      <c r="C105" s="453" t="s">
        <v>398</v>
      </c>
      <c r="D105" s="453"/>
      <c r="E105" s="286">
        <v>39173</v>
      </c>
      <c r="F105" s="135"/>
    </row>
    <row r="106" spans="1:6" ht="12.75">
      <c r="A106" s="2" t="s">
        <v>124</v>
      </c>
      <c r="B106" s="470"/>
      <c r="C106" s="470"/>
      <c r="D106" s="136" t="s">
        <v>175</v>
      </c>
      <c r="E106" s="35" t="s">
        <v>176</v>
      </c>
      <c r="F106" s="135"/>
    </row>
    <row r="107" spans="1:6" ht="12.75">
      <c r="A107" s="2" t="s">
        <v>124</v>
      </c>
      <c r="B107" s="137" t="s">
        <v>1377</v>
      </c>
      <c r="C107" s="76" t="s">
        <v>104</v>
      </c>
      <c r="D107" s="276" t="s">
        <v>1808</v>
      </c>
      <c r="E107" s="276"/>
      <c r="F107" s="135"/>
    </row>
    <row r="108" spans="1:4" ht="12.75">
      <c r="A108" s="2" t="s">
        <v>124</v>
      </c>
      <c r="B108" s="138"/>
      <c r="C108" s="76" t="s">
        <v>105</v>
      </c>
      <c r="D108" s="286">
        <v>39156</v>
      </c>
    </row>
    <row r="110" spans="1:3" ht="12.75">
      <c r="A110" s="2" t="s">
        <v>125</v>
      </c>
      <c r="B110" s="548" t="s">
        <v>106</v>
      </c>
      <c r="C110" s="548"/>
    </row>
    <row r="111" spans="1:4" ht="12.75">
      <c r="A111" s="2" t="s">
        <v>125</v>
      </c>
      <c r="B111" s="453" t="s">
        <v>107</v>
      </c>
      <c r="C111" s="453"/>
      <c r="D111" s="286">
        <v>39203</v>
      </c>
    </row>
    <row r="112" spans="1:4" ht="12.75">
      <c r="A112" s="2" t="s">
        <v>125</v>
      </c>
      <c r="B112" s="453" t="s">
        <v>108</v>
      </c>
      <c r="C112" s="453"/>
      <c r="D112" s="281">
        <v>2</v>
      </c>
    </row>
    <row r="114" ht="15.75">
      <c r="B114" s="36" t="s">
        <v>1987</v>
      </c>
    </row>
    <row r="115" spans="1:5" ht="12.75" customHeight="1">
      <c r="A115" s="163"/>
      <c r="B115" s="189" t="s">
        <v>950</v>
      </c>
      <c r="C115" s="172"/>
      <c r="D115" s="172"/>
      <c r="E115" s="172"/>
    </row>
    <row r="116" spans="1:3" ht="12.75">
      <c r="A116" s="2" t="s">
        <v>126</v>
      </c>
      <c r="B116" s="548" t="s">
        <v>1988</v>
      </c>
      <c r="C116" s="548"/>
    </row>
    <row r="117" spans="1:4" ht="12.75">
      <c r="A117" s="2" t="s">
        <v>126</v>
      </c>
      <c r="B117" s="522" t="s">
        <v>1989</v>
      </c>
      <c r="C117" s="522"/>
      <c r="D117" s="522"/>
    </row>
    <row r="118" spans="1:5" ht="12.75">
      <c r="A118" s="2" t="s">
        <v>126</v>
      </c>
      <c r="B118" s="453" t="s">
        <v>1061</v>
      </c>
      <c r="C118" s="453"/>
      <c r="D118" s="479"/>
      <c r="E118" s="297"/>
    </row>
    <row r="119" spans="1:5" ht="12.75">
      <c r="A119" s="2" t="s">
        <v>126</v>
      </c>
      <c r="B119" s="453" t="s">
        <v>1062</v>
      </c>
      <c r="C119" s="453"/>
      <c r="D119" s="453"/>
      <c r="E119" s="297"/>
    </row>
    <row r="120" spans="1:5" ht="12.75">
      <c r="A120" s="2" t="s">
        <v>126</v>
      </c>
      <c r="B120" s="453" t="s">
        <v>1063</v>
      </c>
      <c r="C120" s="453"/>
      <c r="D120" s="453"/>
      <c r="E120" s="297"/>
    </row>
    <row r="122" spans="1:4" ht="12.75">
      <c r="A122" s="2" t="s">
        <v>126</v>
      </c>
      <c r="B122" s="522" t="s">
        <v>1064</v>
      </c>
      <c r="C122" s="522"/>
      <c r="D122" s="522"/>
    </row>
    <row r="123" spans="1:5" ht="12.75">
      <c r="A123" s="2" t="s">
        <v>126</v>
      </c>
      <c r="B123" s="453" t="s">
        <v>1065</v>
      </c>
      <c r="C123" s="453"/>
      <c r="D123" s="453"/>
      <c r="E123" s="297" t="s">
        <v>1808</v>
      </c>
    </row>
    <row r="124" spans="1:5" ht="12.75">
      <c r="A124" s="2" t="s">
        <v>126</v>
      </c>
      <c r="B124" s="453" t="s">
        <v>1066</v>
      </c>
      <c r="C124" s="453"/>
      <c r="D124" s="453"/>
      <c r="E124" s="297" t="s">
        <v>1808</v>
      </c>
    </row>
    <row r="125" spans="1:5" ht="12.75">
      <c r="A125" s="2" t="s">
        <v>126</v>
      </c>
      <c r="B125" s="453" t="s">
        <v>1067</v>
      </c>
      <c r="C125" s="453"/>
      <c r="D125" s="453"/>
      <c r="E125" s="297" t="s">
        <v>1808</v>
      </c>
    </row>
    <row r="126" spans="1:5" s="34" customFormat="1" ht="12.75">
      <c r="A126" s="139"/>
      <c r="B126" s="140"/>
      <c r="C126" s="140"/>
      <c r="D126" s="140"/>
      <c r="E126" s="141"/>
    </row>
    <row r="127" spans="1:5" ht="12.75">
      <c r="A127" s="2" t="s">
        <v>126</v>
      </c>
      <c r="B127" s="453" t="s">
        <v>1068</v>
      </c>
      <c r="C127" s="453"/>
      <c r="D127" s="453"/>
      <c r="E127" s="297" t="s">
        <v>1808</v>
      </c>
    </row>
    <row r="128" spans="1:5" ht="12.75">
      <c r="A128" s="2" t="s">
        <v>126</v>
      </c>
      <c r="B128" s="453" t="s">
        <v>342</v>
      </c>
      <c r="C128" s="453"/>
      <c r="D128" s="453"/>
      <c r="E128" s="297"/>
    </row>
    <row r="129" spans="1:5" ht="12.75">
      <c r="A129" s="2" t="s">
        <v>126</v>
      </c>
      <c r="B129" s="453" t="s">
        <v>343</v>
      </c>
      <c r="C129" s="453"/>
      <c r="D129" s="453"/>
      <c r="E129" s="297"/>
    </row>
    <row r="130" spans="1:5" ht="12.75">
      <c r="A130" s="2" t="s">
        <v>126</v>
      </c>
      <c r="B130" s="453" t="s">
        <v>344</v>
      </c>
      <c r="C130" s="453"/>
      <c r="D130" s="453"/>
      <c r="E130" s="297"/>
    </row>
    <row r="131" spans="1:5" ht="12.75" customHeight="1">
      <c r="A131" s="2" t="s">
        <v>126</v>
      </c>
      <c r="B131" s="374" t="s">
        <v>791</v>
      </c>
      <c r="C131" s="476"/>
      <c r="D131" s="476"/>
      <c r="E131" s="542"/>
    </row>
    <row r="132" spans="1:5" ht="22.5" customHeight="1">
      <c r="A132" s="2"/>
      <c r="B132" s="518"/>
      <c r="C132" s="519"/>
      <c r="D132" s="519"/>
      <c r="E132" s="520"/>
    </row>
    <row r="134" spans="1:3" ht="12.75">
      <c r="A134" s="2" t="s">
        <v>127</v>
      </c>
      <c r="B134" s="548" t="s">
        <v>345</v>
      </c>
      <c r="C134" s="548"/>
    </row>
    <row r="135" spans="1:3" ht="12.75">
      <c r="A135" s="2" t="s">
        <v>127</v>
      </c>
      <c r="B135" s="548" t="s">
        <v>109</v>
      </c>
      <c r="C135" s="369"/>
    </row>
    <row r="136" spans="1:5" ht="12.75">
      <c r="A136" s="2" t="s">
        <v>127</v>
      </c>
      <c r="B136" s="453" t="s">
        <v>346</v>
      </c>
      <c r="C136" s="453"/>
      <c r="D136" s="453"/>
      <c r="E136" s="297" t="s">
        <v>1808</v>
      </c>
    </row>
    <row r="137" spans="1:5" ht="12.75">
      <c r="A137" s="2" t="s">
        <v>127</v>
      </c>
      <c r="B137" s="453" t="s">
        <v>347</v>
      </c>
      <c r="C137" s="453"/>
      <c r="D137" s="453"/>
      <c r="E137" s="297" t="s">
        <v>1808</v>
      </c>
    </row>
    <row r="138" spans="1:5" ht="12.75">
      <c r="A138" s="2" t="s">
        <v>127</v>
      </c>
      <c r="B138" s="453" t="s">
        <v>348</v>
      </c>
      <c r="C138" s="453"/>
      <c r="D138" s="453"/>
      <c r="E138" s="297" t="s">
        <v>1808</v>
      </c>
    </row>
    <row r="139" spans="1:5" ht="12.75">
      <c r="A139" s="2" t="s">
        <v>127</v>
      </c>
      <c r="B139" s="453" t="s">
        <v>349</v>
      </c>
      <c r="C139" s="453"/>
      <c r="D139" s="453"/>
      <c r="E139" s="297" t="s">
        <v>1808</v>
      </c>
    </row>
    <row r="140" spans="1:5" ht="12.75">
      <c r="A140" s="2" t="s">
        <v>127</v>
      </c>
      <c r="B140" s="453" t="s">
        <v>1326</v>
      </c>
      <c r="C140" s="453"/>
      <c r="D140" s="453"/>
      <c r="E140" s="297" t="s">
        <v>1808</v>
      </c>
    </row>
    <row r="141" spans="1:5" ht="12.75">
      <c r="A141" s="2" t="s">
        <v>127</v>
      </c>
      <c r="B141" s="453" t="s">
        <v>350</v>
      </c>
      <c r="C141" s="453"/>
      <c r="D141" s="453"/>
      <c r="E141" s="297"/>
    </row>
    <row r="142" spans="1:5" ht="12.75">
      <c r="A142" s="2" t="s">
        <v>127</v>
      </c>
      <c r="B142" s="453" t="s">
        <v>351</v>
      </c>
      <c r="C142" s="453"/>
      <c r="D142" s="453"/>
      <c r="E142" s="297"/>
    </row>
    <row r="143" spans="1:5" ht="12.75" customHeight="1">
      <c r="A143" s="2" t="s">
        <v>127</v>
      </c>
      <c r="B143" s="374" t="s">
        <v>791</v>
      </c>
      <c r="C143" s="476"/>
      <c r="D143" s="476"/>
      <c r="E143" s="542"/>
    </row>
    <row r="144" spans="1:5" ht="20.25" customHeight="1">
      <c r="A144" s="2"/>
      <c r="B144" s="518"/>
      <c r="C144" s="519"/>
      <c r="D144" s="519"/>
      <c r="E144" s="520"/>
    </row>
    <row r="146" spans="1:6" ht="12.75">
      <c r="A146" s="2" t="s">
        <v>128</v>
      </c>
      <c r="B146" s="548" t="s">
        <v>229</v>
      </c>
      <c r="C146" s="369"/>
      <c r="D146" s="369"/>
      <c r="E146" s="369"/>
      <c r="F146" s="369"/>
    </row>
    <row r="147" spans="1:5" ht="12.75">
      <c r="A147" s="2" t="s">
        <v>128</v>
      </c>
      <c r="B147" s="565"/>
      <c r="C147" s="565"/>
      <c r="D147" s="142" t="s">
        <v>1512</v>
      </c>
      <c r="E147" s="142" t="s">
        <v>1513</v>
      </c>
    </row>
    <row r="148" spans="1:5" ht="12.75">
      <c r="A148" s="2" t="s">
        <v>128</v>
      </c>
      <c r="B148" s="572" t="s">
        <v>1514</v>
      </c>
      <c r="C148" s="572"/>
      <c r="D148" s="297" t="s">
        <v>1808</v>
      </c>
      <c r="E148" s="297"/>
    </row>
    <row r="149" spans="1:5" ht="12.75">
      <c r="A149" s="2" t="s">
        <v>128</v>
      </c>
      <c r="B149" s="572" t="s">
        <v>1515</v>
      </c>
      <c r="C149" s="572"/>
      <c r="D149" s="297"/>
      <c r="E149" s="297"/>
    </row>
    <row r="150" spans="1:5" ht="12.75">
      <c r="A150" s="2" t="s">
        <v>128</v>
      </c>
      <c r="B150" s="572" t="s">
        <v>1516</v>
      </c>
      <c r="C150" s="572"/>
      <c r="D150" s="297"/>
      <c r="E150" s="297"/>
    </row>
    <row r="151" spans="1:5" ht="12.75">
      <c r="A151" s="2" t="s">
        <v>128</v>
      </c>
      <c r="B151" s="572" t="s">
        <v>1517</v>
      </c>
      <c r="C151" s="572"/>
      <c r="D151" s="297" t="s">
        <v>1808</v>
      </c>
      <c r="E151" s="297"/>
    </row>
    <row r="152" spans="1:5" ht="12.75">
      <c r="A152" s="2" t="s">
        <v>128</v>
      </c>
      <c r="B152" s="572" t="s">
        <v>1518</v>
      </c>
      <c r="C152" s="572"/>
      <c r="D152" s="297"/>
      <c r="E152" s="297"/>
    </row>
    <row r="153" spans="1:5" ht="12.75">
      <c r="A153" s="2" t="s">
        <v>128</v>
      </c>
      <c r="B153" s="572" t="s">
        <v>1519</v>
      </c>
      <c r="C153" s="572"/>
      <c r="D153" s="297" t="s">
        <v>1808</v>
      </c>
      <c r="E153" s="128"/>
    </row>
    <row r="154" spans="1:5" ht="12.75">
      <c r="A154" s="2" t="s">
        <v>128</v>
      </c>
      <c r="B154" s="572" t="s">
        <v>1520</v>
      </c>
      <c r="C154" s="572"/>
      <c r="D154" s="297" t="s">
        <v>1808</v>
      </c>
      <c r="E154" s="297"/>
    </row>
    <row r="155" spans="1:5" ht="12.75">
      <c r="A155" s="2" t="s">
        <v>128</v>
      </c>
      <c r="B155" s="572" t="s">
        <v>275</v>
      </c>
      <c r="C155" s="572"/>
      <c r="D155" s="297"/>
      <c r="E155" s="297"/>
    </row>
    <row r="156" spans="1:5" ht="12.75">
      <c r="A156" s="2" t="s">
        <v>128</v>
      </c>
      <c r="B156" s="572" t="s">
        <v>1521</v>
      </c>
      <c r="C156" s="572"/>
      <c r="D156" s="297"/>
      <c r="E156" s="297"/>
    </row>
    <row r="157" spans="1:5" ht="12.75">
      <c r="A157" s="2" t="s">
        <v>128</v>
      </c>
      <c r="B157" s="572" t="s">
        <v>1522</v>
      </c>
      <c r="C157" s="572"/>
      <c r="D157" s="297"/>
      <c r="E157" s="297"/>
    </row>
    <row r="158" spans="1:5" ht="12.75">
      <c r="A158" s="2" t="s">
        <v>128</v>
      </c>
      <c r="B158" s="572" t="s">
        <v>1523</v>
      </c>
      <c r="C158" s="572"/>
      <c r="D158" s="297"/>
      <c r="E158" s="297" t="s">
        <v>1808</v>
      </c>
    </row>
  </sheetData>
  <sheetProtection/>
  <mergeCells count="106">
    <mergeCell ref="B122:D122"/>
    <mergeCell ref="B117:D117"/>
    <mergeCell ref="B135:C135"/>
    <mergeCell ref="B118:D118"/>
    <mergeCell ref="B119:D119"/>
    <mergeCell ref="B146:F146"/>
    <mergeCell ref="B136:D136"/>
    <mergeCell ref="B137:D137"/>
    <mergeCell ref="B138:D138"/>
    <mergeCell ref="B139:D139"/>
    <mergeCell ref="A1:F1"/>
    <mergeCell ref="B140:D140"/>
    <mergeCell ref="B141:D141"/>
    <mergeCell ref="B142:D142"/>
    <mergeCell ref="B134:C134"/>
    <mergeCell ref="B129:D129"/>
    <mergeCell ref="B130:D130"/>
    <mergeCell ref="B127:D127"/>
    <mergeCell ref="B111:C111"/>
    <mergeCell ref="B112:C112"/>
    <mergeCell ref="B116:C116"/>
    <mergeCell ref="B120:D120"/>
    <mergeCell ref="B123:D123"/>
    <mergeCell ref="B124:D124"/>
    <mergeCell ref="B125:D125"/>
    <mergeCell ref="B92:D92"/>
    <mergeCell ref="B89:F89"/>
    <mergeCell ref="B85:E85"/>
    <mergeCell ref="B83:D83"/>
    <mergeCell ref="B81:D81"/>
    <mergeCell ref="B82:D82"/>
    <mergeCell ref="B84:E84"/>
    <mergeCell ref="B61:E61"/>
    <mergeCell ref="B66:F66"/>
    <mergeCell ref="B69:D69"/>
    <mergeCell ref="B70:D70"/>
    <mergeCell ref="B90:D90"/>
    <mergeCell ref="B91:D91"/>
    <mergeCell ref="B71:D71"/>
    <mergeCell ref="B75:E75"/>
    <mergeCell ref="B79:F79"/>
    <mergeCell ref="B80:D80"/>
    <mergeCell ref="B73:E73"/>
    <mergeCell ref="B77:E77"/>
    <mergeCell ref="B156:C156"/>
    <mergeCell ref="B157:C157"/>
    <mergeCell ref="B158:C158"/>
    <mergeCell ref="B4:D4"/>
    <mergeCell ref="B5:F5"/>
    <mergeCell ref="B7:D7"/>
    <mergeCell ref="B8:D8"/>
    <mergeCell ref="B152:C152"/>
    <mergeCell ref="B153:C153"/>
    <mergeCell ref="B154:C154"/>
    <mergeCell ref="B94:D94"/>
    <mergeCell ref="B155:C155"/>
    <mergeCell ref="B148:C148"/>
    <mergeCell ref="B149:C149"/>
    <mergeCell ref="B150:C150"/>
    <mergeCell ref="B151:C151"/>
    <mergeCell ref="B99:F99"/>
    <mergeCell ref="B100:D100"/>
    <mergeCell ref="B101:D101"/>
    <mergeCell ref="B144:E144"/>
    <mergeCell ref="B29:D29"/>
    <mergeCell ref="B147:C147"/>
    <mergeCell ref="B95:D95"/>
    <mergeCell ref="B30:D30"/>
    <mergeCell ref="B63:E63"/>
    <mergeCell ref="B68:F68"/>
    <mergeCell ref="B32:F32"/>
    <mergeCell ref="B48:F48"/>
    <mergeCell ref="B93:D93"/>
    <mergeCell ref="B143:E143"/>
    <mergeCell ref="B23:D23"/>
    <mergeCell ref="B24:D24"/>
    <mergeCell ref="B25:D25"/>
    <mergeCell ref="B26:D26"/>
    <mergeCell ref="B27:F27"/>
    <mergeCell ref="B28:D28"/>
    <mergeCell ref="B12:C12"/>
    <mergeCell ref="B18:D18"/>
    <mergeCell ref="B19:D19"/>
    <mergeCell ref="B20:D20"/>
    <mergeCell ref="B21:D21"/>
    <mergeCell ref="B22:F22"/>
    <mergeCell ref="C57:F57"/>
    <mergeCell ref="B62:E62"/>
    <mergeCell ref="B64:E64"/>
    <mergeCell ref="A2:F2"/>
    <mergeCell ref="B15:D15"/>
    <mergeCell ref="B16:F16"/>
    <mergeCell ref="B17:D17"/>
    <mergeCell ref="B13:C13"/>
    <mergeCell ref="B10:F10"/>
    <mergeCell ref="B11:C11"/>
    <mergeCell ref="B96:E96"/>
    <mergeCell ref="B97:E97"/>
    <mergeCell ref="B131:E131"/>
    <mergeCell ref="B132:E132"/>
    <mergeCell ref="B102:D102"/>
    <mergeCell ref="B104:F104"/>
    <mergeCell ref="B106:C106"/>
    <mergeCell ref="C105:D105"/>
    <mergeCell ref="B110:C110"/>
    <mergeCell ref="B128:D128"/>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K53"/>
  <sheetViews>
    <sheetView zoomScalePageLayoutView="0" workbookViewId="0" topLeftCell="A43">
      <selection activeCell="H55" sqref="H55"/>
    </sheetView>
  </sheetViews>
  <sheetFormatPr defaultColWidth="9.140625" defaultRowHeight="12.75"/>
  <cols>
    <col min="1" max="2" width="3.8515625" style="0" customWidth="1"/>
    <col min="3" max="3" width="10.7109375" style="0" customWidth="1"/>
    <col min="4" max="11" width="9.00390625" style="0" customWidth="1"/>
  </cols>
  <sheetData>
    <row r="1" spans="1:11" ht="23.25">
      <c r="A1" s="590" t="s">
        <v>1972</v>
      </c>
      <c r="B1" s="590"/>
      <c r="C1" s="590"/>
      <c r="D1" s="590"/>
      <c r="E1" s="590"/>
      <c r="F1" s="590"/>
      <c r="G1" s="590"/>
      <c r="H1" s="590"/>
      <c r="I1" s="590"/>
      <c r="J1" s="590"/>
      <c r="K1" s="590"/>
    </row>
    <row r="2" spans="1:11" ht="18">
      <c r="A2" s="398" t="s">
        <v>1856</v>
      </c>
      <c r="B2" s="398"/>
      <c r="C2" s="398"/>
      <c r="D2" s="398"/>
      <c r="E2" s="398"/>
      <c r="F2" s="398"/>
      <c r="G2" s="398"/>
      <c r="H2" s="398"/>
      <c r="I2" s="398"/>
      <c r="J2" s="398"/>
      <c r="K2" s="398"/>
    </row>
    <row r="4" spans="1:11" ht="38.25" customHeight="1">
      <c r="A4" s="3" t="s">
        <v>1345</v>
      </c>
      <c r="B4" s="582" t="s">
        <v>1330</v>
      </c>
      <c r="C4" s="583"/>
      <c r="D4" s="583"/>
      <c r="E4" s="583"/>
      <c r="F4" s="583"/>
      <c r="G4" s="583"/>
      <c r="H4" s="583"/>
      <c r="I4" s="583"/>
      <c r="J4" s="583"/>
      <c r="K4" s="583"/>
    </row>
    <row r="5" spans="2:11" ht="66" customHeight="1">
      <c r="B5" s="585" t="s">
        <v>35</v>
      </c>
      <c r="C5" s="585"/>
      <c r="D5" s="585"/>
      <c r="E5" s="585"/>
      <c r="F5" s="585"/>
      <c r="G5" s="585"/>
      <c r="H5" s="585"/>
      <c r="I5" s="585"/>
      <c r="J5" s="585"/>
      <c r="K5" s="585"/>
    </row>
    <row r="6" spans="2:11" s="211" customFormat="1" ht="12.75">
      <c r="B6" s="212"/>
      <c r="C6" s="213"/>
      <c r="D6" s="210"/>
      <c r="E6" s="210"/>
      <c r="F6" s="210"/>
      <c r="G6" s="210"/>
      <c r="H6" s="210"/>
      <c r="I6" s="214"/>
      <c r="J6" s="212" t="s">
        <v>46</v>
      </c>
      <c r="K6" s="212" t="s">
        <v>47</v>
      </c>
    </row>
    <row r="7" spans="2:11" s="208" customFormat="1" ht="55.5" customHeight="1">
      <c r="B7" s="209"/>
      <c r="C7" s="585" t="s">
        <v>990</v>
      </c>
      <c r="D7" s="585"/>
      <c r="E7" s="585"/>
      <c r="F7" s="585"/>
      <c r="G7" s="585"/>
      <c r="H7" s="585"/>
      <c r="I7" s="585"/>
      <c r="J7" s="215" t="s">
        <v>48</v>
      </c>
      <c r="K7" s="215" t="s">
        <v>994</v>
      </c>
    </row>
    <row r="8" spans="2:11" s="208" customFormat="1" ht="46.5" customHeight="1">
      <c r="B8" s="209"/>
      <c r="C8" s="585" t="s">
        <v>991</v>
      </c>
      <c r="D8" s="585"/>
      <c r="E8" s="585"/>
      <c r="F8" s="585"/>
      <c r="G8" s="585"/>
      <c r="H8" s="585"/>
      <c r="I8" s="585"/>
      <c r="J8" s="215" t="s">
        <v>48</v>
      </c>
      <c r="K8" s="215" t="s">
        <v>130</v>
      </c>
    </row>
    <row r="9" spans="2:11" s="208" customFormat="1" ht="24.75" customHeight="1">
      <c r="B9" s="209"/>
      <c r="C9" s="585" t="s">
        <v>41</v>
      </c>
      <c r="D9" s="585"/>
      <c r="E9" s="585"/>
      <c r="F9" s="585"/>
      <c r="G9" s="585"/>
      <c r="H9" s="585"/>
      <c r="I9" s="585"/>
      <c r="J9" s="215" t="s">
        <v>48</v>
      </c>
      <c r="K9" s="215" t="s">
        <v>995</v>
      </c>
    </row>
    <row r="10" spans="2:11" s="208" customFormat="1" ht="25.5" customHeight="1">
      <c r="B10" s="209"/>
      <c r="C10" s="585" t="s">
        <v>42</v>
      </c>
      <c r="D10" s="585"/>
      <c r="E10" s="585"/>
      <c r="F10" s="585"/>
      <c r="G10" s="585"/>
      <c r="H10" s="585"/>
      <c r="I10" s="585"/>
      <c r="J10" s="215" t="s">
        <v>48</v>
      </c>
      <c r="K10" s="215" t="s">
        <v>48</v>
      </c>
    </row>
    <row r="11" spans="2:11" s="208" customFormat="1" ht="12.75">
      <c r="B11" s="209"/>
      <c r="C11" s="585" t="s">
        <v>43</v>
      </c>
      <c r="D11" s="585"/>
      <c r="E11" s="585"/>
      <c r="F11" s="585"/>
      <c r="G11" s="585"/>
      <c r="H11" s="585"/>
      <c r="I11" s="585"/>
      <c r="J11" s="215" t="s">
        <v>995</v>
      </c>
      <c r="K11" s="215" t="s">
        <v>48</v>
      </c>
    </row>
    <row r="12" spans="2:11" s="208" customFormat="1" ht="12.75">
      <c r="B12" s="209"/>
      <c r="C12" s="585" t="s">
        <v>44</v>
      </c>
      <c r="D12" s="585"/>
      <c r="E12" s="585"/>
      <c r="F12" s="585"/>
      <c r="G12" s="585"/>
      <c r="H12" s="585"/>
      <c r="I12" s="585"/>
      <c r="J12" s="215" t="s">
        <v>48</v>
      </c>
      <c r="K12" s="215" t="s">
        <v>48</v>
      </c>
    </row>
    <row r="13" spans="2:11" s="208" customFormat="1" ht="12.75">
      <c r="B13" s="209"/>
      <c r="C13" s="585" t="s">
        <v>45</v>
      </c>
      <c r="D13" s="585"/>
      <c r="E13" s="585"/>
      <c r="F13" s="585"/>
      <c r="G13" s="585"/>
      <c r="H13" s="585"/>
      <c r="I13" s="585"/>
      <c r="J13" s="215" t="s">
        <v>48</v>
      </c>
      <c r="K13" s="215" t="s">
        <v>995</v>
      </c>
    </row>
    <row r="14" spans="2:11" ht="12.75" customHeight="1">
      <c r="B14" s="147"/>
      <c r="C14" s="147"/>
      <c r="D14" s="147"/>
      <c r="E14" s="147"/>
      <c r="F14" s="147"/>
      <c r="G14" s="147"/>
      <c r="H14" s="147"/>
      <c r="I14" s="147"/>
      <c r="J14" s="147"/>
      <c r="K14" s="147"/>
    </row>
    <row r="15" spans="2:11" s="216" customFormat="1" ht="25.5" customHeight="1">
      <c r="B15" s="586" t="s">
        <v>996</v>
      </c>
      <c r="C15" s="587"/>
      <c r="D15" s="587"/>
      <c r="E15" s="587"/>
      <c r="F15" s="587"/>
      <c r="G15" s="587"/>
      <c r="H15" s="587"/>
      <c r="I15" s="587"/>
      <c r="J15" s="587"/>
      <c r="K15" s="587"/>
    </row>
    <row r="16" spans="2:11" s="216" customFormat="1" ht="49.5" customHeight="1">
      <c r="B16" s="586" t="s">
        <v>1473</v>
      </c>
      <c r="C16" s="587"/>
      <c r="D16" s="587"/>
      <c r="E16" s="587"/>
      <c r="F16" s="587"/>
      <c r="G16" s="587"/>
      <c r="H16" s="587"/>
      <c r="I16" s="587"/>
      <c r="J16" s="587"/>
      <c r="K16" s="587"/>
    </row>
    <row r="17" spans="2:11" ht="25.5" customHeight="1">
      <c r="B17" s="588" t="s">
        <v>1474</v>
      </c>
      <c r="C17" s="589"/>
      <c r="D17" s="589"/>
      <c r="E17" s="589"/>
      <c r="F17" s="589"/>
      <c r="G17" s="589"/>
      <c r="H17" s="589"/>
      <c r="I17" s="589"/>
      <c r="J17" s="589"/>
      <c r="K17" s="589"/>
    </row>
    <row r="18" spans="2:11" ht="37.5" customHeight="1">
      <c r="B18" s="588" t="s">
        <v>747</v>
      </c>
      <c r="C18" s="589"/>
      <c r="D18" s="589"/>
      <c r="E18" s="589"/>
      <c r="F18" s="589"/>
      <c r="G18" s="589"/>
      <c r="H18" s="589"/>
      <c r="I18" s="589"/>
      <c r="J18" s="589"/>
      <c r="K18" s="589"/>
    </row>
    <row r="19" spans="2:11" ht="36.75" customHeight="1">
      <c r="B19" s="588" t="s">
        <v>748</v>
      </c>
      <c r="C19" s="589"/>
      <c r="D19" s="589"/>
      <c r="E19" s="589"/>
      <c r="F19" s="589"/>
      <c r="G19" s="589"/>
      <c r="H19" s="589"/>
      <c r="I19" s="589"/>
      <c r="J19" s="589"/>
      <c r="K19" s="589"/>
    </row>
    <row r="20" spans="2:11" ht="12.75" customHeight="1">
      <c r="B20" s="588" t="s">
        <v>749</v>
      </c>
      <c r="C20" s="589"/>
      <c r="D20" s="589"/>
      <c r="E20" s="589"/>
      <c r="F20" s="589"/>
      <c r="G20" s="589"/>
      <c r="H20" s="589"/>
      <c r="I20" s="589"/>
      <c r="J20" s="589"/>
      <c r="K20" s="589"/>
    </row>
    <row r="21" spans="2:11" ht="12.75" customHeight="1">
      <c r="B21" s="589"/>
      <c r="C21" s="589"/>
      <c r="D21" s="589"/>
      <c r="E21" s="589"/>
      <c r="F21" s="589"/>
      <c r="G21" s="589"/>
      <c r="H21" s="589"/>
      <c r="I21" s="589"/>
      <c r="J21" s="589"/>
      <c r="K21" s="589"/>
    </row>
    <row r="22" spans="3:11" ht="12.75">
      <c r="C22" s="129"/>
      <c r="D22" s="129"/>
      <c r="E22" s="129"/>
      <c r="F22" s="129"/>
      <c r="G22" s="129"/>
      <c r="H22" s="129"/>
      <c r="I22" s="129"/>
      <c r="J22" s="129"/>
      <c r="K22" s="129"/>
    </row>
    <row r="23" spans="1:11" ht="12.75">
      <c r="A23" s="3" t="s">
        <v>1345</v>
      </c>
      <c r="B23" s="555"/>
      <c r="C23" s="556"/>
      <c r="D23" s="556"/>
      <c r="E23" s="556"/>
      <c r="F23" s="556"/>
      <c r="G23" s="556"/>
      <c r="H23" s="557"/>
      <c r="I23" s="142" t="s">
        <v>1857</v>
      </c>
      <c r="J23" s="142" t="s">
        <v>1858</v>
      </c>
      <c r="K23" s="142" t="s">
        <v>1681</v>
      </c>
    </row>
    <row r="24" spans="1:11" ht="12.75">
      <c r="A24" s="3" t="s">
        <v>1345</v>
      </c>
      <c r="B24" s="143" t="s">
        <v>1859</v>
      </c>
      <c r="C24" s="408" t="s">
        <v>1860</v>
      </c>
      <c r="D24" s="408"/>
      <c r="E24" s="408"/>
      <c r="F24" s="408"/>
      <c r="G24" s="408"/>
      <c r="H24" s="409"/>
      <c r="I24" s="300">
        <v>619</v>
      </c>
      <c r="J24" s="300">
        <v>178</v>
      </c>
      <c r="K24" s="300">
        <v>797</v>
      </c>
    </row>
    <row r="25" spans="1:11" ht="12.75">
      <c r="A25" s="3" t="s">
        <v>1345</v>
      </c>
      <c r="B25" s="143" t="s">
        <v>1861</v>
      </c>
      <c r="C25" s="408" t="s">
        <v>1862</v>
      </c>
      <c r="D25" s="408"/>
      <c r="E25" s="408"/>
      <c r="F25" s="408"/>
      <c r="G25" s="408"/>
      <c r="H25" s="409"/>
      <c r="I25" s="300">
        <v>60</v>
      </c>
      <c r="J25" s="300">
        <v>12</v>
      </c>
      <c r="K25" s="300">
        <v>72</v>
      </c>
    </row>
    <row r="26" spans="1:11" ht="12.75">
      <c r="A26" s="3" t="s">
        <v>1345</v>
      </c>
      <c r="B26" s="143" t="s">
        <v>1863</v>
      </c>
      <c r="C26" s="408" t="s">
        <v>1864</v>
      </c>
      <c r="D26" s="408"/>
      <c r="E26" s="408"/>
      <c r="F26" s="408"/>
      <c r="G26" s="408"/>
      <c r="H26" s="409"/>
      <c r="I26" s="300">
        <v>230</v>
      </c>
      <c r="J26" s="300">
        <v>74</v>
      </c>
      <c r="K26" s="300">
        <v>304</v>
      </c>
    </row>
    <row r="27" spans="1:11" ht="12.75">
      <c r="A27" s="3" t="s">
        <v>1345</v>
      </c>
      <c r="B27" s="143" t="s">
        <v>1865</v>
      </c>
      <c r="C27" s="408" t="s">
        <v>1866</v>
      </c>
      <c r="D27" s="408"/>
      <c r="E27" s="408"/>
      <c r="F27" s="408"/>
      <c r="G27" s="408"/>
      <c r="H27" s="409"/>
      <c r="I27" s="300">
        <v>389</v>
      </c>
      <c r="J27" s="300">
        <v>104</v>
      </c>
      <c r="K27" s="300">
        <v>493</v>
      </c>
    </row>
    <row r="28" spans="1:11" ht="14.25" customHeight="1">
      <c r="A28" s="3" t="s">
        <v>1345</v>
      </c>
      <c r="B28" s="143" t="s">
        <v>1867</v>
      </c>
      <c r="C28" s="408" t="s">
        <v>1868</v>
      </c>
      <c r="D28" s="408"/>
      <c r="E28" s="408"/>
      <c r="F28" s="408"/>
      <c r="G28" s="408"/>
      <c r="H28" s="409"/>
      <c r="I28" s="300">
        <v>34</v>
      </c>
      <c r="J28" s="300">
        <v>6</v>
      </c>
      <c r="K28" s="300">
        <v>40</v>
      </c>
    </row>
    <row r="29" spans="1:11" ht="25.5" customHeight="1">
      <c r="A29" s="3" t="s">
        <v>1345</v>
      </c>
      <c r="B29" s="144" t="s">
        <v>1869</v>
      </c>
      <c r="C29" s="408" t="s">
        <v>1870</v>
      </c>
      <c r="D29" s="408"/>
      <c r="E29" s="408"/>
      <c r="F29" s="408"/>
      <c r="G29" s="408"/>
      <c r="H29" s="409"/>
      <c r="I29" s="300">
        <v>554</v>
      </c>
      <c r="J29" s="300">
        <v>60</v>
      </c>
      <c r="K29" s="300">
        <v>614</v>
      </c>
    </row>
    <row r="30" spans="1:11" ht="26.25" customHeight="1">
      <c r="A30" s="3" t="s">
        <v>1345</v>
      </c>
      <c r="B30" s="144" t="s">
        <v>1871</v>
      </c>
      <c r="C30" s="408" t="s">
        <v>1872</v>
      </c>
      <c r="D30" s="408"/>
      <c r="E30" s="408"/>
      <c r="F30" s="408"/>
      <c r="G30" s="408"/>
      <c r="H30" s="409"/>
      <c r="I30" s="300">
        <v>36</v>
      </c>
      <c r="J30" s="300">
        <v>39</v>
      </c>
      <c r="K30" s="300">
        <v>75</v>
      </c>
    </row>
    <row r="31" spans="1:11" ht="12.75">
      <c r="A31" s="3" t="s">
        <v>1345</v>
      </c>
      <c r="B31" s="143" t="s">
        <v>1873</v>
      </c>
      <c r="C31" s="408" t="s">
        <v>1874</v>
      </c>
      <c r="D31" s="408"/>
      <c r="E31" s="408"/>
      <c r="F31" s="408"/>
      <c r="G31" s="408"/>
      <c r="H31" s="409"/>
      <c r="I31" s="300">
        <v>3</v>
      </c>
      <c r="J31" s="300">
        <v>16</v>
      </c>
      <c r="K31" s="300">
        <v>19</v>
      </c>
    </row>
    <row r="32" spans="1:11" ht="25.5" customHeight="1">
      <c r="A32" s="3" t="s">
        <v>1345</v>
      </c>
      <c r="B32" s="143" t="s">
        <v>1875</v>
      </c>
      <c r="C32" s="408" t="s">
        <v>457</v>
      </c>
      <c r="D32" s="408"/>
      <c r="E32" s="408"/>
      <c r="F32" s="408"/>
      <c r="G32" s="408"/>
      <c r="H32" s="409"/>
      <c r="I32" s="300">
        <v>26</v>
      </c>
      <c r="J32" s="300">
        <v>63</v>
      </c>
      <c r="K32" s="300">
        <v>89</v>
      </c>
    </row>
    <row r="33" spans="1:11" ht="25.5" customHeight="1">
      <c r="A33" s="3" t="s">
        <v>1345</v>
      </c>
      <c r="B33" s="200" t="s">
        <v>1364</v>
      </c>
      <c r="C33" s="446" t="s">
        <v>2003</v>
      </c>
      <c r="D33" s="446"/>
      <c r="E33" s="446"/>
      <c r="F33" s="446"/>
      <c r="G33" s="446"/>
      <c r="H33" s="446"/>
      <c r="I33" s="300">
        <v>128</v>
      </c>
      <c r="J33" s="300">
        <v>56</v>
      </c>
      <c r="K33" s="300">
        <v>184</v>
      </c>
    </row>
    <row r="35" spans="1:11" ht="12.75">
      <c r="A35" s="3" t="s">
        <v>1346</v>
      </c>
      <c r="B35" s="578" t="s">
        <v>1348</v>
      </c>
      <c r="C35" s="369"/>
      <c r="D35" s="369"/>
      <c r="E35" s="369"/>
      <c r="F35" s="369"/>
      <c r="G35" s="369"/>
      <c r="H35" s="369"/>
      <c r="I35" s="369"/>
      <c r="J35" s="369"/>
      <c r="K35" s="369"/>
    </row>
    <row r="36" spans="2:11" ht="64.5" customHeight="1">
      <c r="B36" s="368" t="s">
        <v>1331</v>
      </c>
      <c r="C36" s="368"/>
      <c r="D36" s="368"/>
      <c r="E36" s="368"/>
      <c r="F36" s="368"/>
      <c r="G36" s="368"/>
      <c r="H36" s="368"/>
      <c r="I36" s="368"/>
      <c r="J36" s="368"/>
      <c r="K36" s="368"/>
    </row>
    <row r="37" spans="2:11" ht="12.75">
      <c r="B37" s="7"/>
      <c r="C37" s="7"/>
      <c r="D37" s="7"/>
      <c r="E37" s="7"/>
      <c r="F37" s="7"/>
      <c r="G37" s="7"/>
      <c r="H37" s="7"/>
      <c r="I37" s="7"/>
      <c r="J37" s="7"/>
      <c r="K37" s="7"/>
    </row>
    <row r="38" spans="1:11" s="189" customFormat="1" ht="12.75">
      <c r="A38" s="82" t="s">
        <v>1346</v>
      </c>
      <c r="B38" s="584" t="s">
        <v>1332</v>
      </c>
      <c r="C38" s="584"/>
      <c r="D38" s="584"/>
      <c r="E38" s="584"/>
      <c r="F38" s="584"/>
      <c r="G38" s="302">
        <v>11</v>
      </c>
      <c r="H38" s="201" t="s">
        <v>1365</v>
      </c>
      <c r="I38" s="217" t="s">
        <v>2004</v>
      </c>
      <c r="J38" s="300">
        <v>5733</v>
      </c>
      <c r="K38" s="217" t="s">
        <v>2005</v>
      </c>
    </row>
    <row r="39" spans="9:11" s="189" customFormat="1" ht="12.75">
      <c r="I39" s="218" t="s">
        <v>2006</v>
      </c>
      <c r="J39" s="300">
        <v>532</v>
      </c>
      <c r="K39" s="217" t="s">
        <v>1366</v>
      </c>
    </row>
    <row r="40" spans="1:11" ht="16.5" customHeight="1">
      <c r="A40" s="3" t="s">
        <v>1347</v>
      </c>
      <c r="B40" s="578" t="s">
        <v>1876</v>
      </c>
      <c r="C40" s="369"/>
      <c r="D40" s="369"/>
      <c r="E40" s="369"/>
      <c r="F40" s="369"/>
      <c r="G40" s="369"/>
      <c r="H40" s="369"/>
      <c r="I40" s="369"/>
      <c r="J40" s="369"/>
      <c r="K40" s="369"/>
    </row>
    <row r="41" spans="1:11" ht="27" customHeight="1">
      <c r="A41" s="3"/>
      <c r="B41" s="477" t="s">
        <v>1333</v>
      </c>
      <c r="C41" s="368"/>
      <c r="D41" s="368"/>
      <c r="E41" s="368"/>
      <c r="F41" s="368"/>
      <c r="G41" s="368"/>
      <c r="H41" s="368"/>
      <c r="I41" s="368"/>
      <c r="J41" s="368"/>
      <c r="K41" s="368"/>
    </row>
    <row r="42" spans="1:11" ht="115.5" customHeight="1">
      <c r="A42" s="3"/>
      <c r="B42" s="581" t="s">
        <v>56</v>
      </c>
      <c r="C42" s="368"/>
      <c r="D42" s="368"/>
      <c r="E42" s="368"/>
      <c r="F42" s="368"/>
      <c r="G42" s="368"/>
      <c r="H42" s="368"/>
      <c r="I42" s="368"/>
      <c r="J42" s="368"/>
      <c r="K42" s="368"/>
    </row>
    <row r="43" spans="1:11" ht="93" customHeight="1">
      <c r="A43" s="3"/>
      <c r="B43" s="581" t="s">
        <v>86</v>
      </c>
      <c r="C43" s="477"/>
      <c r="D43" s="477"/>
      <c r="E43" s="477"/>
      <c r="F43" s="477"/>
      <c r="G43" s="477"/>
      <c r="H43" s="477"/>
      <c r="I43" s="477"/>
      <c r="J43" s="477"/>
      <c r="K43" s="477"/>
    </row>
    <row r="44" spans="1:11" ht="68.25" customHeight="1">
      <c r="A44" s="3"/>
      <c r="B44" s="477" t="s">
        <v>1334</v>
      </c>
      <c r="C44" s="368"/>
      <c r="D44" s="368"/>
      <c r="E44" s="368"/>
      <c r="F44" s="368"/>
      <c r="G44" s="368"/>
      <c r="H44" s="368"/>
      <c r="I44" s="368"/>
      <c r="J44" s="368"/>
      <c r="K44" s="368"/>
    </row>
    <row r="45" spans="1:11" ht="12.75">
      <c r="A45" s="3"/>
      <c r="B45" s="146"/>
      <c r="C45" s="146"/>
      <c r="D45" s="146"/>
      <c r="E45" s="146"/>
      <c r="F45" s="146"/>
      <c r="G45" s="146"/>
      <c r="H45" s="146"/>
      <c r="I45" s="146"/>
      <c r="J45" s="146"/>
      <c r="K45" s="146"/>
    </row>
    <row r="46" spans="1:11" ht="12.75">
      <c r="A46" s="3" t="s">
        <v>1347</v>
      </c>
      <c r="B46" s="579" t="s">
        <v>1021</v>
      </c>
      <c r="C46" s="471"/>
      <c r="D46" s="471"/>
      <c r="E46" s="471"/>
      <c r="F46" s="471"/>
      <c r="G46" s="471"/>
      <c r="H46" s="471"/>
      <c r="I46" s="471"/>
      <c r="J46" s="471"/>
      <c r="K46" s="471"/>
    </row>
    <row r="48" spans="1:11" ht="12.75">
      <c r="A48" s="3" t="s">
        <v>1347</v>
      </c>
      <c r="B48" s="580" t="s">
        <v>1022</v>
      </c>
      <c r="C48" s="580"/>
      <c r="D48" s="580"/>
      <c r="E48" s="580"/>
      <c r="F48" s="580"/>
      <c r="G48" s="580"/>
      <c r="H48" s="580"/>
      <c r="I48" s="580"/>
      <c r="J48" s="580"/>
      <c r="K48" s="580"/>
    </row>
    <row r="49" spans="1:11" ht="12.75">
      <c r="A49" s="3" t="s">
        <v>1347</v>
      </c>
      <c r="B49" s="577" t="s">
        <v>1336</v>
      </c>
      <c r="C49" s="577"/>
      <c r="D49" s="145" t="s">
        <v>1337</v>
      </c>
      <c r="E49" s="145" t="s">
        <v>1338</v>
      </c>
      <c r="F49" s="145" t="s">
        <v>1339</v>
      </c>
      <c r="G49" s="145" t="s">
        <v>1340</v>
      </c>
      <c r="H49" s="145" t="s">
        <v>1341</v>
      </c>
      <c r="I49" s="145" t="s">
        <v>1342</v>
      </c>
      <c r="J49" s="145" t="s">
        <v>1343</v>
      </c>
      <c r="K49" s="145" t="s">
        <v>1681</v>
      </c>
    </row>
    <row r="50" spans="1:11" ht="12.75">
      <c r="A50" s="3" t="s">
        <v>1347</v>
      </c>
      <c r="B50" s="577"/>
      <c r="C50" s="577"/>
      <c r="D50" s="300">
        <v>149</v>
      </c>
      <c r="E50" s="300">
        <v>305</v>
      </c>
      <c r="F50" s="300">
        <v>166</v>
      </c>
      <c r="G50" s="300">
        <v>176</v>
      </c>
      <c r="H50" s="300">
        <v>73</v>
      </c>
      <c r="I50" s="300">
        <v>35</v>
      </c>
      <c r="J50" s="300">
        <v>28</v>
      </c>
      <c r="K50" s="301">
        <f>SUM(D50:J50)</f>
        <v>932</v>
      </c>
    </row>
    <row r="51" spans="2:3" ht="12.75">
      <c r="B51" s="576"/>
      <c r="C51" s="576"/>
    </row>
    <row r="52" spans="1:11" ht="12.75">
      <c r="A52" s="3" t="s">
        <v>1347</v>
      </c>
      <c r="B52" s="577" t="s">
        <v>1344</v>
      </c>
      <c r="C52" s="577"/>
      <c r="D52" s="145" t="s">
        <v>1337</v>
      </c>
      <c r="E52" s="145" t="s">
        <v>1338</v>
      </c>
      <c r="F52" s="145" t="s">
        <v>1339</v>
      </c>
      <c r="G52" s="145" t="s">
        <v>1340</v>
      </c>
      <c r="H52" s="145" t="s">
        <v>1341</v>
      </c>
      <c r="I52" s="145" t="s">
        <v>1342</v>
      </c>
      <c r="J52" s="145" t="s">
        <v>1343</v>
      </c>
      <c r="K52" s="145" t="s">
        <v>1681</v>
      </c>
    </row>
    <row r="53" spans="1:11" ht="12.75">
      <c r="A53" s="3" t="s">
        <v>1347</v>
      </c>
      <c r="B53" s="577"/>
      <c r="C53" s="577"/>
      <c r="D53" s="300">
        <v>7</v>
      </c>
      <c r="E53" s="300">
        <v>26</v>
      </c>
      <c r="F53" s="300">
        <v>42</v>
      </c>
      <c r="G53" s="300">
        <v>5</v>
      </c>
      <c r="H53" s="300">
        <v>1</v>
      </c>
      <c r="I53" s="300">
        <v>1</v>
      </c>
      <c r="J53" s="300">
        <v>0</v>
      </c>
      <c r="K53" s="301">
        <f>SUM(D53:J53)</f>
        <v>82</v>
      </c>
    </row>
  </sheetData>
  <sheetProtection/>
  <mergeCells count="42">
    <mergeCell ref="C28:H28"/>
    <mergeCell ref="C25:H25"/>
    <mergeCell ref="C26:H26"/>
    <mergeCell ref="A1:K1"/>
    <mergeCell ref="C11:I11"/>
    <mergeCell ref="C12:I12"/>
    <mergeCell ref="C13:I13"/>
    <mergeCell ref="A2:K2"/>
    <mergeCell ref="B5:K5"/>
    <mergeCell ref="B21:K21"/>
    <mergeCell ref="C24:H24"/>
    <mergeCell ref="B15:K15"/>
    <mergeCell ref="B16:K16"/>
    <mergeCell ref="B17:K17"/>
    <mergeCell ref="B18:K18"/>
    <mergeCell ref="B19:K19"/>
    <mergeCell ref="B20:K20"/>
    <mergeCell ref="B4:K4"/>
    <mergeCell ref="B35:K35"/>
    <mergeCell ref="B36:K36"/>
    <mergeCell ref="B38:F38"/>
    <mergeCell ref="C27:H27"/>
    <mergeCell ref="C7:I7"/>
    <mergeCell ref="C8:I8"/>
    <mergeCell ref="C9:I9"/>
    <mergeCell ref="C10:I10"/>
    <mergeCell ref="B23:H23"/>
    <mergeCell ref="B52:C53"/>
    <mergeCell ref="B40:K40"/>
    <mergeCell ref="B46:K46"/>
    <mergeCell ref="B48:K48"/>
    <mergeCell ref="B42:K42"/>
    <mergeCell ref="B49:C50"/>
    <mergeCell ref="B44:K44"/>
    <mergeCell ref="B43:K43"/>
    <mergeCell ref="B41:K41"/>
    <mergeCell ref="C33:H33"/>
    <mergeCell ref="C29:H29"/>
    <mergeCell ref="C30:H30"/>
    <mergeCell ref="C31:H31"/>
    <mergeCell ref="C32:H32"/>
    <mergeCell ref="B51:C5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A1" sqref="A1:F4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6" ht="23.25">
      <c r="A1" s="397" t="s">
        <v>1972</v>
      </c>
      <c r="B1" s="397"/>
      <c r="C1" s="397"/>
      <c r="D1" s="397"/>
      <c r="E1" s="397"/>
      <c r="F1" s="397"/>
    </row>
    <row r="2" spans="1:5" ht="18">
      <c r="A2" s="591" t="s">
        <v>1717</v>
      </c>
      <c r="B2" s="591"/>
      <c r="C2" s="591"/>
      <c r="D2" s="591"/>
      <c r="E2" s="591"/>
    </row>
    <row r="4" spans="1:2" ht="12.75">
      <c r="A4" s="80" t="s">
        <v>1718</v>
      </c>
      <c r="B4" s="82" t="s">
        <v>1335</v>
      </c>
    </row>
    <row r="5" spans="1:6" s="199" customFormat="1" ht="72" customHeight="1">
      <c r="A5" s="30" t="s">
        <v>1718</v>
      </c>
      <c r="B5" s="543" t="s">
        <v>129</v>
      </c>
      <c r="C5" s="543"/>
      <c r="D5" s="543"/>
      <c r="E5" s="543"/>
      <c r="F5" s="543"/>
    </row>
    <row r="6" spans="1:6" ht="26.25" thickBot="1">
      <c r="A6" s="80" t="s">
        <v>1718</v>
      </c>
      <c r="B6" s="83" t="s">
        <v>1719</v>
      </c>
      <c r="C6" s="37" t="s">
        <v>1720</v>
      </c>
      <c r="D6" s="37" t="s">
        <v>1502</v>
      </c>
      <c r="E6" s="37" t="s">
        <v>1721</v>
      </c>
      <c r="F6" s="37" t="s">
        <v>1327</v>
      </c>
    </row>
    <row r="7" spans="1:6" ht="13.5" thickBot="1">
      <c r="A7" s="80" t="s">
        <v>1718</v>
      </c>
      <c r="B7" s="219" t="s">
        <v>1722</v>
      </c>
      <c r="C7" s="304"/>
      <c r="D7" s="304"/>
      <c r="E7" s="304"/>
      <c r="F7" s="220">
        <v>1</v>
      </c>
    </row>
    <row r="8" spans="1:6" ht="13.5" thickBot="1">
      <c r="A8" s="80" t="s">
        <v>1718</v>
      </c>
      <c r="B8" s="221" t="s">
        <v>1563</v>
      </c>
      <c r="C8" s="305"/>
      <c r="D8" s="305"/>
      <c r="E8" s="305"/>
      <c r="F8" s="222">
        <v>3</v>
      </c>
    </row>
    <row r="9" spans="1:6" ht="13.5" thickBot="1">
      <c r="A9" s="80" t="s">
        <v>1718</v>
      </c>
      <c r="B9" s="221" t="s">
        <v>1723</v>
      </c>
      <c r="C9" s="305"/>
      <c r="D9" s="305"/>
      <c r="E9" s="305"/>
      <c r="F9" s="222">
        <v>4</v>
      </c>
    </row>
    <row r="10" spans="1:6" ht="13.5" thickBot="1">
      <c r="A10" s="80" t="s">
        <v>1718</v>
      </c>
      <c r="B10" s="221" t="s">
        <v>1724</v>
      </c>
      <c r="C10" s="305"/>
      <c r="D10" s="305"/>
      <c r="E10" s="305">
        <v>0.0311</v>
      </c>
      <c r="F10" s="222">
        <v>5</v>
      </c>
    </row>
    <row r="11" spans="1:6" ht="13.5" thickBot="1">
      <c r="A11" s="80" t="s">
        <v>1718</v>
      </c>
      <c r="B11" s="250" t="s">
        <v>1817</v>
      </c>
      <c r="C11" s="305"/>
      <c r="D11" s="305"/>
      <c r="E11" s="305"/>
      <c r="F11" s="222">
        <v>9</v>
      </c>
    </row>
    <row r="12" spans="1:6" ht="13.5" thickBot="1">
      <c r="A12" s="80" t="s">
        <v>1718</v>
      </c>
      <c r="B12" s="250" t="s">
        <v>929</v>
      </c>
      <c r="C12" s="305"/>
      <c r="D12" s="305"/>
      <c r="E12" s="305"/>
      <c r="F12" s="222">
        <v>10</v>
      </c>
    </row>
    <row r="13" spans="1:6" ht="13.5" thickBot="1">
      <c r="A13" s="80" t="s">
        <v>1718</v>
      </c>
      <c r="B13" s="221" t="s">
        <v>1727</v>
      </c>
      <c r="C13" s="305"/>
      <c r="D13" s="305"/>
      <c r="E13" s="305">
        <v>0.0094</v>
      </c>
      <c r="F13" s="222">
        <v>11</v>
      </c>
    </row>
    <row r="14" spans="1:6" ht="13.5" thickBot="1">
      <c r="A14" s="80" t="s">
        <v>1718</v>
      </c>
      <c r="B14" s="221" t="s">
        <v>930</v>
      </c>
      <c r="C14" s="305"/>
      <c r="D14" s="305"/>
      <c r="E14" s="305"/>
      <c r="F14" s="222">
        <v>12</v>
      </c>
    </row>
    <row r="15" spans="1:6" ht="13.5" thickBot="1">
      <c r="A15" s="80" t="s">
        <v>1718</v>
      </c>
      <c r="B15" s="221" t="s">
        <v>1728</v>
      </c>
      <c r="C15" s="305"/>
      <c r="D15" s="305"/>
      <c r="E15" s="305">
        <v>0.0172</v>
      </c>
      <c r="F15" s="222">
        <v>13</v>
      </c>
    </row>
    <row r="16" spans="1:6" ht="13.5" thickBot="1">
      <c r="A16" s="80" t="s">
        <v>1718</v>
      </c>
      <c r="B16" s="221" t="s">
        <v>931</v>
      </c>
      <c r="C16" s="305"/>
      <c r="D16" s="305"/>
      <c r="E16" s="305"/>
      <c r="F16" s="222">
        <v>14</v>
      </c>
    </row>
    <row r="17" spans="1:6" ht="13.5" thickBot="1">
      <c r="A17" s="80" t="s">
        <v>1718</v>
      </c>
      <c r="B17" s="221" t="s">
        <v>932</v>
      </c>
      <c r="C17" s="305"/>
      <c r="D17" s="305"/>
      <c r="E17" s="305"/>
      <c r="F17" s="222">
        <v>15</v>
      </c>
    </row>
    <row r="18" spans="1:6" ht="13.5" thickBot="1">
      <c r="A18" s="80" t="s">
        <v>1718</v>
      </c>
      <c r="B18" s="221" t="s">
        <v>1729</v>
      </c>
      <c r="C18" s="305"/>
      <c r="D18" s="305"/>
      <c r="E18" s="305">
        <v>0.0417</v>
      </c>
      <c r="F18" s="222">
        <v>16</v>
      </c>
    </row>
    <row r="19" spans="1:6" ht="13.5" thickBot="1">
      <c r="A19" s="80" t="s">
        <v>1718</v>
      </c>
      <c r="B19" s="250" t="s">
        <v>933</v>
      </c>
      <c r="C19" s="305"/>
      <c r="D19" s="305"/>
      <c r="E19" s="305"/>
      <c r="F19" s="222">
        <v>19</v>
      </c>
    </row>
    <row r="20" spans="1:6" ht="13.5" thickBot="1">
      <c r="A20" s="80" t="s">
        <v>1718</v>
      </c>
      <c r="B20" s="221" t="s">
        <v>110</v>
      </c>
      <c r="C20" s="305"/>
      <c r="D20" s="305"/>
      <c r="E20" s="305"/>
      <c r="F20" s="222">
        <v>22</v>
      </c>
    </row>
    <row r="21" spans="1:6" ht="13.5" thickBot="1">
      <c r="A21" s="80" t="s">
        <v>1718</v>
      </c>
      <c r="B21" s="221" t="s">
        <v>249</v>
      </c>
      <c r="C21" s="305"/>
      <c r="D21" s="305"/>
      <c r="E21" s="305">
        <v>0.0856</v>
      </c>
      <c r="F21" s="222">
        <v>23</v>
      </c>
    </row>
    <row r="22" spans="1:6" ht="13.5" thickBot="1">
      <c r="A22" s="80" t="s">
        <v>1718</v>
      </c>
      <c r="B22" s="221" t="s">
        <v>111</v>
      </c>
      <c r="C22" s="305"/>
      <c r="D22" s="305"/>
      <c r="E22" s="305"/>
      <c r="F22" s="222">
        <v>24</v>
      </c>
    </row>
    <row r="23" spans="1:6" ht="13.5" thickBot="1">
      <c r="A23" s="80" t="s">
        <v>1718</v>
      </c>
      <c r="B23" s="221" t="s">
        <v>112</v>
      </c>
      <c r="C23" s="305"/>
      <c r="D23" s="305"/>
      <c r="E23" s="305"/>
      <c r="F23" s="222">
        <v>25</v>
      </c>
    </row>
    <row r="24" spans="1:6" ht="13.5" thickBot="1">
      <c r="A24" s="80" t="s">
        <v>1718</v>
      </c>
      <c r="B24" s="221" t="s">
        <v>1725</v>
      </c>
      <c r="C24" s="305"/>
      <c r="D24" s="305"/>
      <c r="E24" s="305">
        <v>0.0611</v>
      </c>
      <c r="F24" s="222">
        <v>26</v>
      </c>
    </row>
    <row r="25" spans="1:6" ht="13.5" thickBot="1">
      <c r="A25" s="80" t="s">
        <v>1718</v>
      </c>
      <c r="B25" s="221" t="s">
        <v>250</v>
      </c>
      <c r="C25" s="305"/>
      <c r="D25" s="305"/>
      <c r="E25" s="305">
        <v>0.0156</v>
      </c>
      <c r="F25" s="222">
        <v>27</v>
      </c>
    </row>
    <row r="26" spans="1:6" ht="13.5" thickBot="1">
      <c r="A26" s="80" t="s">
        <v>1718</v>
      </c>
      <c r="B26" s="221" t="s">
        <v>1562</v>
      </c>
      <c r="C26" s="305"/>
      <c r="D26" s="305"/>
      <c r="E26" s="305"/>
      <c r="F26" s="222">
        <v>29</v>
      </c>
    </row>
    <row r="27" spans="1:6" ht="13.5" thickBot="1">
      <c r="A27" s="80" t="s">
        <v>1718</v>
      </c>
      <c r="B27" s="221" t="s">
        <v>1731</v>
      </c>
      <c r="C27" s="305"/>
      <c r="D27" s="305"/>
      <c r="E27" s="305">
        <v>0.0878</v>
      </c>
      <c r="F27" s="222">
        <v>30</v>
      </c>
    </row>
    <row r="28" spans="1:6" ht="13.5" thickBot="1">
      <c r="A28" s="80" t="s">
        <v>1718</v>
      </c>
      <c r="B28" s="221" t="s">
        <v>1564</v>
      </c>
      <c r="C28" s="305"/>
      <c r="D28" s="305"/>
      <c r="E28" s="305">
        <v>0.0306</v>
      </c>
      <c r="F28" s="222">
        <v>31</v>
      </c>
    </row>
    <row r="29" spans="1:6" ht="13.5" thickBot="1">
      <c r="A29" s="80" t="s">
        <v>1718</v>
      </c>
      <c r="B29" s="250" t="s">
        <v>934</v>
      </c>
      <c r="C29" s="305"/>
      <c r="D29" s="305"/>
      <c r="E29" s="305">
        <v>0.0228</v>
      </c>
      <c r="F29" s="222">
        <v>38</v>
      </c>
    </row>
    <row r="30" spans="1:6" ht="13.5" thickBot="1">
      <c r="A30" s="80" t="s">
        <v>1718</v>
      </c>
      <c r="B30" s="250" t="s">
        <v>604</v>
      </c>
      <c r="C30" s="305"/>
      <c r="D30" s="305"/>
      <c r="E30" s="305"/>
      <c r="F30" s="222">
        <v>39</v>
      </c>
    </row>
    <row r="31" spans="1:6" ht="13.5" thickBot="1">
      <c r="A31" s="80" t="s">
        <v>1718</v>
      </c>
      <c r="B31" s="250" t="s">
        <v>1565</v>
      </c>
      <c r="C31" s="305"/>
      <c r="D31" s="305"/>
      <c r="E31" s="305">
        <v>0.0489</v>
      </c>
      <c r="F31" s="222">
        <v>40</v>
      </c>
    </row>
    <row r="32" spans="1:6" ht="13.5" thickBot="1">
      <c r="A32" s="80" t="s">
        <v>1718</v>
      </c>
      <c r="B32" s="250" t="s">
        <v>605</v>
      </c>
      <c r="C32" s="305"/>
      <c r="D32" s="305"/>
      <c r="E32" s="305"/>
      <c r="F32" s="222">
        <v>41</v>
      </c>
    </row>
    <row r="33" spans="1:6" ht="13.5" thickBot="1">
      <c r="A33" s="80" t="s">
        <v>1718</v>
      </c>
      <c r="B33" s="221" t="s">
        <v>1566</v>
      </c>
      <c r="C33" s="305"/>
      <c r="D33" s="305"/>
      <c r="E33" s="305">
        <v>0.0767</v>
      </c>
      <c r="F33" s="222">
        <v>42</v>
      </c>
    </row>
    <row r="34" spans="1:6" ht="13.5" thickBot="1">
      <c r="A34" s="80" t="s">
        <v>1718</v>
      </c>
      <c r="B34" s="250" t="s">
        <v>606</v>
      </c>
      <c r="C34" s="305"/>
      <c r="D34" s="305"/>
      <c r="E34" s="305"/>
      <c r="F34" s="222">
        <v>43</v>
      </c>
    </row>
    <row r="35" spans="1:6" ht="13.5" thickBot="1">
      <c r="A35" s="80" t="s">
        <v>1718</v>
      </c>
      <c r="B35" s="250" t="s">
        <v>607</v>
      </c>
      <c r="C35" s="305"/>
      <c r="D35" s="305"/>
      <c r="E35" s="305">
        <v>0.0072</v>
      </c>
      <c r="F35" s="222">
        <v>44</v>
      </c>
    </row>
    <row r="36" spans="1:6" ht="13.5" thickBot="1">
      <c r="A36" s="80" t="s">
        <v>1718</v>
      </c>
      <c r="B36" s="221" t="s">
        <v>608</v>
      </c>
      <c r="C36" s="305"/>
      <c r="D36" s="305"/>
      <c r="E36" s="305">
        <v>0.235</v>
      </c>
      <c r="F36" s="222">
        <v>45</v>
      </c>
    </row>
    <row r="37" spans="1:6" ht="13.5" thickBot="1">
      <c r="A37" s="80" t="s">
        <v>1718</v>
      </c>
      <c r="B37" s="250" t="s">
        <v>609</v>
      </c>
      <c r="C37" s="305"/>
      <c r="D37" s="305"/>
      <c r="E37" s="305"/>
      <c r="F37" s="222">
        <v>46</v>
      </c>
    </row>
    <row r="38" spans="1:6" ht="13.5" thickBot="1">
      <c r="A38" s="80" t="s">
        <v>1718</v>
      </c>
      <c r="B38" s="250" t="s">
        <v>610</v>
      </c>
      <c r="C38" s="305"/>
      <c r="D38" s="305"/>
      <c r="E38" s="305"/>
      <c r="F38" s="222">
        <v>47</v>
      </c>
    </row>
    <row r="39" spans="1:6" ht="13.5" thickBot="1">
      <c r="A39" s="80" t="s">
        <v>1718</v>
      </c>
      <c r="B39" s="250" t="s">
        <v>611</v>
      </c>
      <c r="C39" s="305"/>
      <c r="D39" s="305"/>
      <c r="E39" s="305"/>
      <c r="F39" s="222">
        <v>48</v>
      </c>
    </row>
    <row r="40" spans="1:6" ht="13.5" thickBot="1">
      <c r="A40" s="80" t="s">
        <v>1718</v>
      </c>
      <c r="B40" s="250" t="s">
        <v>612</v>
      </c>
      <c r="C40" s="305"/>
      <c r="D40" s="305"/>
      <c r="E40" s="305"/>
      <c r="F40" s="222">
        <v>49</v>
      </c>
    </row>
    <row r="41" spans="1:6" ht="13.5" thickBot="1">
      <c r="A41" s="80" t="s">
        <v>1718</v>
      </c>
      <c r="B41" s="221" t="s">
        <v>1567</v>
      </c>
      <c r="C41" s="305"/>
      <c r="D41" s="305"/>
      <c r="E41" s="305">
        <v>0.0361</v>
      </c>
      <c r="F41" s="222">
        <v>50</v>
      </c>
    </row>
    <row r="42" spans="1:6" ht="13.5" thickBot="1">
      <c r="A42" s="80" t="s">
        <v>1718</v>
      </c>
      <c r="B42" s="221" t="s">
        <v>1730</v>
      </c>
      <c r="C42" s="305"/>
      <c r="D42" s="305"/>
      <c r="E42" s="305"/>
      <c r="F42" s="222">
        <v>51</v>
      </c>
    </row>
    <row r="43" spans="1:6" ht="13.5" thickBot="1">
      <c r="A43" s="80" t="s">
        <v>1718</v>
      </c>
      <c r="B43" s="221" t="s">
        <v>1726</v>
      </c>
      <c r="C43" s="305"/>
      <c r="D43" s="305"/>
      <c r="E43" s="305">
        <v>0.11</v>
      </c>
      <c r="F43" s="222">
        <v>52</v>
      </c>
    </row>
    <row r="44" spans="1:6" ht="13.5" thickBot="1">
      <c r="A44" s="80" t="s">
        <v>1718</v>
      </c>
      <c r="B44" s="250" t="s">
        <v>254</v>
      </c>
      <c r="C44" s="305"/>
      <c r="D44" s="305"/>
      <c r="E44" s="305">
        <v>0.0832</v>
      </c>
      <c r="F44" s="222">
        <v>54</v>
      </c>
    </row>
    <row r="45" spans="1:6" ht="13.5" thickBot="1">
      <c r="A45" s="80" t="s">
        <v>1718</v>
      </c>
      <c r="B45" s="250" t="s">
        <v>1568</v>
      </c>
      <c r="C45" s="305"/>
      <c r="D45" s="305"/>
      <c r="E45" s="305"/>
      <c r="F45" s="222"/>
    </row>
    <row r="46" spans="1:6" ht="12.75">
      <c r="A46" s="80" t="s">
        <v>1718</v>
      </c>
      <c r="B46" s="18" t="s">
        <v>1850</v>
      </c>
      <c r="C46" s="188">
        <f>SUM(C7:C45)</f>
        <v>0</v>
      </c>
      <c r="D46" s="188">
        <f>SUM(D7:D45)</f>
        <v>0</v>
      </c>
      <c r="E46" s="188">
        <f>SUM(E7:E45)</f>
        <v>1</v>
      </c>
      <c r="F46" s="84"/>
    </row>
  </sheetData>
  <sheetProtection/>
  <mergeCells count="3">
    <mergeCell ref="A2:E2"/>
    <mergeCell ref="B5:F5"/>
    <mergeCell ref="A1:F1"/>
  </mergeCells>
  <printOptions/>
  <pageMargins left="0.75" right="0.75" top="1" bottom="1" header="0.5" footer="0.5"/>
  <pageSetup fitToHeight="1" fitToWidth="1" horizontalDpi="600" verticalDpi="600" orientation="landscape" scale="68" r:id="rId1"/>
  <headerFooter alignWithMargins="0">
    <oddHeader>&amp;CCommon Data Set 2006-07</oddHeader>
    <oddFooter>&amp;C&amp;A&amp;RPage &amp;P</oddFooter>
  </headerFooter>
</worksheet>
</file>

<file path=xl/worksheets/sheet14.xml><?xml version="1.0" encoding="utf-8"?>
<worksheet xmlns="http://schemas.openxmlformats.org/spreadsheetml/2006/main" xmlns:r="http://schemas.openxmlformats.org/officeDocument/2006/relationships">
  <dimension ref="A1:A156"/>
  <sheetViews>
    <sheetView zoomScalePageLayoutView="0" workbookViewId="0" topLeftCell="A1">
      <selection activeCell="A1" sqref="A1:A156"/>
    </sheetView>
  </sheetViews>
  <sheetFormatPr defaultColWidth="9.140625" defaultRowHeight="12.75"/>
  <cols>
    <col min="1" max="1" width="88.7109375" style="155" customWidth="1"/>
    <col min="2" max="16384" width="9.140625" style="129" customWidth="1"/>
  </cols>
  <sheetData>
    <row r="1" ht="23.25">
      <c r="A1" s="366" t="s">
        <v>1972</v>
      </c>
    </row>
    <row r="2" ht="18">
      <c r="A2" s="149" t="s">
        <v>1328</v>
      </c>
    </row>
    <row r="3" ht="25.5">
      <c r="A3" s="150" t="s">
        <v>1375</v>
      </c>
    </row>
    <row r="4" ht="12.75">
      <c r="A4" s="150"/>
    </row>
    <row r="5" ht="25.5">
      <c r="A5" s="151" t="s">
        <v>1376</v>
      </c>
    </row>
    <row r="6" ht="12.75">
      <c r="A6" s="152"/>
    </row>
    <row r="7" ht="38.25">
      <c r="A7" s="150" t="s">
        <v>1571</v>
      </c>
    </row>
    <row r="8" ht="38.25">
      <c r="A8" s="150" t="s">
        <v>1732</v>
      </c>
    </row>
    <row r="9" ht="12.75">
      <c r="A9" s="150" t="s">
        <v>113</v>
      </c>
    </row>
    <row r="10" ht="25.5">
      <c r="A10" s="150" t="s">
        <v>114</v>
      </c>
    </row>
    <row r="11" ht="25.5">
      <c r="A11" s="150" t="s">
        <v>1622</v>
      </c>
    </row>
    <row r="12" ht="51">
      <c r="A12" s="150" t="s">
        <v>1623</v>
      </c>
    </row>
    <row r="13" ht="38.25">
      <c r="A13" s="150" t="s">
        <v>1600</v>
      </c>
    </row>
    <row r="14" ht="38.25">
      <c r="A14" s="150" t="s">
        <v>408</v>
      </c>
    </row>
    <row r="15" ht="25.5">
      <c r="A15" s="150" t="s">
        <v>409</v>
      </c>
    </row>
    <row r="16" ht="89.25">
      <c r="A16" s="150" t="s">
        <v>1239</v>
      </c>
    </row>
    <row r="17" ht="25.5">
      <c r="A17" s="150" t="s">
        <v>596</v>
      </c>
    </row>
    <row r="18" ht="12.75">
      <c r="A18" s="150" t="s">
        <v>597</v>
      </c>
    </row>
    <row r="19" ht="38.25">
      <c r="A19" s="150" t="s">
        <v>598</v>
      </c>
    </row>
    <row r="20" ht="25.5">
      <c r="A20" s="150" t="s">
        <v>599</v>
      </c>
    </row>
    <row r="21" ht="38.25">
      <c r="A21" s="353" t="s">
        <v>241</v>
      </c>
    </row>
    <row r="22" ht="63.75">
      <c r="A22" s="150" t="s">
        <v>600</v>
      </c>
    </row>
    <row r="23" ht="12.75">
      <c r="A23" s="150" t="s">
        <v>601</v>
      </c>
    </row>
    <row r="24" ht="12.75">
      <c r="A24" s="150" t="s">
        <v>602</v>
      </c>
    </row>
    <row r="25" ht="25.5">
      <c r="A25" s="150" t="s">
        <v>603</v>
      </c>
    </row>
    <row r="26" ht="38.25">
      <c r="A26" s="150" t="s">
        <v>89</v>
      </c>
    </row>
    <row r="27" ht="38.25">
      <c r="A27" s="150" t="s">
        <v>98</v>
      </c>
    </row>
    <row r="28" ht="25.5">
      <c r="A28" s="150" t="s">
        <v>99</v>
      </c>
    </row>
    <row r="29" ht="38.25">
      <c r="A29" s="150" t="s">
        <v>100</v>
      </c>
    </row>
    <row r="30" ht="25.5">
      <c r="A30" s="150" t="s">
        <v>101</v>
      </c>
    </row>
    <row r="31" ht="51">
      <c r="A31" s="150" t="s">
        <v>133</v>
      </c>
    </row>
    <row r="32" ht="25.5">
      <c r="A32" s="354" t="s">
        <v>765</v>
      </c>
    </row>
    <row r="33" ht="25.5">
      <c r="A33" s="150" t="s">
        <v>134</v>
      </c>
    </row>
    <row r="34" ht="25.5">
      <c r="A34" s="150" t="s">
        <v>135</v>
      </c>
    </row>
    <row r="35" ht="38.25">
      <c r="A35" s="150" t="s">
        <v>136</v>
      </c>
    </row>
    <row r="36" ht="25.5">
      <c r="A36" s="150" t="s">
        <v>137</v>
      </c>
    </row>
    <row r="37" ht="51">
      <c r="A37" s="150" t="s">
        <v>138</v>
      </c>
    </row>
    <row r="38" ht="25.5">
      <c r="A38" s="150" t="s">
        <v>139</v>
      </c>
    </row>
    <row r="39" ht="25.5">
      <c r="A39" s="150" t="s">
        <v>140</v>
      </c>
    </row>
    <row r="40" ht="25.5">
      <c r="A40" s="150" t="s">
        <v>141</v>
      </c>
    </row>
    <row r="41" ht="38.25">
      <c r="A41" s="150" t="s">
        <v>36</v>
      </c>
    </row>
    <row r="42" ht="63.75">
      <c r="A42" s="150" t="s">
        <v>37</v>
      </c>
    </row>
    <row r="43" ht="12.75">
      <c r="A43" s="150" t="s">
        <v>38</v>
      </c>
    </row>
    <row r="44" ht="25.5">
      <c r="A44" s="150" t="s">
        <v>454</v>
      </c>
    </row>
    <row r="45" ht="76.5">
      <c r="A45" s="150" t="s">
        <v>455</v>
      </c>
    </row>
    <row r="46" ht="25.5">
      <c r="A46" s="150" t="s">
        <v>1847</v>
      </c>
    </row>
    <row r="47" ht="38.25">
      <c r="A47" s="150" t="s">
        <v>411</v>
      </c>
    </row>
    <row r="48" ht="38.25">
      <c r="A48" s="150" t="s">
        <v>412</v>
      </c>
    </row>
    <row r="49" ht="25.5">
      <c r="A49" s="150" t="s">
        <v>1237</v>
      </c>
    </row>
    <row r="50" ht="63.75">
      <c r="A50" s="150" t="s">
        <v>1228</v>
      </c>
    </row>
    <row r="51" ht="25.5">
      <c r="A51" s="150" t="s">
        <v>1263</v>
      </c>
    </row>
    <row r="52" ht="38.25">
      <c r="A52" s="150" t="s">
        <v>1264</v>
      </c>
    </row>
    <row r="53" ht="38.25">
      <c r="A53" s="150" t="s">
        <v>1265</v>
      </c>
    </row>
    <row r="54" ht="38.25">
      <c r="A54" s="150" t="s">
        <v>1266</v>
      </c>
    </row>
    <row r="55" ht="38.25">
      <c r="A55" s="150" t="s">
        <v>1267</v>
      </c>
    </row>
    <row r="56" ht="51">
      <c r="A56" s="150" t="s">
        <v>1268</v>
      </c>
    </row>
    <row r="57" ht="51">
      <c r="A57" s="150" t="s">
        <v>1269</v>
      </c>
    </row>
    <row r="58" ht="51">
      <c r="A58" s="150" t="s">
        <v>953</v>
      </c>
    </row>
    <row r="59" ht="38.25">
      <c r="A59" s="150" t="s">
        <v>954</v>
      </c>
    </row>
    <row r="60" ht="12.75">
      <c r="A60" s="150" t="s">
        <v>955</v>
      </c>
    </row>
    <row r="61" ht="38.25">
      <c r="A61" s="150" t="s">
        <v>956</v>
      </c>
    </row>
    <row r="62" ht="25.5">
      <c r="A62" s="150" t="s">
        <v>957</v>
      </c>
    </row>
    <row r="63" ht="25.5">
      <c r="A63" s="150" t="s">
        <v>958</v>
      </c>
    </row>
    <row r="64" ht="63.75">
      <c r="A64" s="150" t="s">
        <v>529</v>
      </c>
    </row>
    <row r="65" ht="25.5">
      <c r="A65" s="150" t="s">
        <v>530</v>
      </c>
    </row>
    <row r="66" ht="25.5">
      <c r="A66" s="150" t="s">
        <v>531</v>
      </c>
    </row>
    <row r="67" ht="38.25">
      <c r="A67" s="150" t="s">
        <v>2007</v>
      </c>
    </row>
    <row r="68" ht="25.5">
      <c r="A68" s="150" t="s">
        <v>1284</v>
      </c>
    </row>
    <row r="69" ht="25.5">
      <c r="A69" s="150" t="s">
        <v>1285</v>
      </c>
    </row>
    <row r="70" ht="38.25">
      <c r="A70" s="150" t="s">
        <v>1286</v>
      </c>
    </row>
    <row r="71" ht="25.5">
      <c r="A71" s="150" t="s">
        <v>1287</v>
      </c>
    </row>
    <row r="72" ht="12.75">
      <c r="A72" s="150" t="s">
        <v>1288</v>
      </c>
    </row>
    <row r="73" ht="25.5">
      <c r="A73" s="252" t="s">
        <v>985</v>
      </c>
    </row>
    <row r="74" ht="38.25">
      <c r="A74" s="150" t="s">
        <v>335</v>
      </c>
    </row>
    <row r="75" ht="38.25">
      <c r="A75" s="150" t="s">
        <v>1673</v>
      </c>
    </row>
    <row r="76" ht="12.75">
      <c r="A76" s="150" t="s">
        <v>521</v>
      </c>
    </row>
    <row r="77" ht="38.25">
      <c r="A77" s="150" t="s">
        <v>336</v>
      </c>
    </row>
    <row r="78" ht="38.25">
      <c r="A78" s="150" t="s">
        <v>867</v>
      </c>
    </row>
    <row r="79" ht="25.5">
      <c r="A79" s="150" t="s">
        <v>868</v>
      </c>
    </row>
    <row r="80" ht="25.5">
      <c r="A80" s="150" t="s">
        <v>869</v>
      </c>
    </row>
    <row r="81" ht="38.25">
      <c r="A81" s="353" t="s">
        <v>1877</v>
      </c>
    </row>
    <row r="82" ht="25.5">
      <c r="A82" s="150" t="s">
        <v>870</v>
      </c>
    </row>
    <row r="83" ht="25.5">
      <c r="A83" s="150" t="s">
        <v>871</v>
      </c>
    </row>
    <row r="84" ht="38.25">
      <c r="A84" s="150" t="s">
        <v>872</v>
      </c>
    </row>
    <row r="85" ht="25.5">
      <c r="A85" s="150" t="s">
        <v>1983</v>
      </c>
    </row>
    <row r="86" ht="25.5">
      <c r="A86" s="150" t="s">
        <v>1984</v>
      </c>
    </row>
    <row r="87" ht="25.5">
      <c r="A87" s="150" t="s">
        <v>1985</v>
      </c>
    </row>
    <row r="88" ht="25.5">
      <c r="A88" s="150" t="s">
        <v>1986</v>
      </c>
    </row>
    <row r="89" ht="51">
      <c r="A89" s="150" t="s">
        <v>856</v>
      </c>
    </row>
    <row r="90" ht="38.25">
      <c r="A90" s="150" t="s">
        <v>1775</v>
      </c>
    </row>
    <row r="91" ht="38.25">
      <c r="A91" s="150" t="s">
        <v>1776</v>
      </c>
    </row>
    <row r="92" ht="38.25">
      <c r="A92" s="153" t="s">
        <v>1811</v>
      </c>
    </row>
    <row r="93" ht="51">
      <c r="A93" s="153" t="s">
        <v>448</v>
      </c>
    </row>
    <row r="94" ht="51">
      <c r="A94" s="153" t="s">
        <v>449</v>
      </c>
    </row>
    <row r="95" ht="38.25">
      <c r="A95" s="150" t="s">
        <v>1966</v>
      </c>
    </row>
    <row r="96" ht="25.5">
      <c r="A96" s="150" t="s">
        <v>1967</v>
      </c>
    </row>
    <row r="97" ht="38.25">
      <c r="A97" s="150" t="s">
        <v>1968</v>
      </c>
    </row>
    <row r="98" ht="12.75">
      <c r="A98" s="150" t="s">
        <v>1969</v>
      </c>
    </row>
    <row r="99" ht="25.5">
      <c r="A99" s="150" t="s">
        <v>1970</v>
      </c>
    </row>
    <row r="100" ht="38.25">
      <c r="A100" s="150" t="s">
        <v>1971</v>
      </c>
    </row>
    <row r="101" ht="38.25">
      <c r="A101" s="150" t="s">
        <v>1795</v>
      </c>
    </row>
    <row r="102" ht="25.5">
      <c r="A102" s="150" t="s">
        <v>1796</v>
      </c>
    </row>
    <row r="103" ht="38.25">
      <c r="A103" s="150" t="s">
        <v>1797</v>
      </c>
    </row>
    <row r="104" ht="25.5">
      <c r="A104" s="150" t="s">
        <v>1798</v>
      </c>
    </row>
    <row r="105" ht="25.5">
      <c r="A105" s="150" t="s">
        <v>1738</v>
      </c>
    </row>
    <row r="106" ht="38.25">
      <c r="A106" s="150" t="s">
        <v>1739</v>
      </c>
    </row>
    <row r="107" ht="76.5">
      <c r="A107" s="150" t="s">
        <v>0</v>
      </c>
    </row>
    <row r="108" ht="25.5">
      <c r="A108" s="150" t="s">
        <v>1</v>
      </c>
    </row>
    <row r="109" ht="38.25">
      <c r="A109" s="150" t="s">
        <v>986</v>
      </c>
    </row>
    <row r="110" ht="38.25">
      <c r="A110" s="150" t="s">
        <v>1810</v>
      </c>
    </row>
    <row r="111" ht="25.5">
      <c r="A111" s="150" t="s">
        <v>961</v>
      </c>
    </row>
    <row r="112" ht="38.25">
      <c r="A112" s="150" t="s">
        <v>1302</v>
      </c>
    </row>
    <row r="113" ht="63.75">
      <c r="A113" s="150" t="s">
        <v>1303</v>
      </c>
    </row>
    <row r="114" ht="25.5">
      <c r="A114" s="150" t="s">
        <v>593</v>
      </c>
    </row>
    <row r="115" ht="25.5">
      <c r="A115" s="150" t="s">
        <v>594</v>
      </c>
    </row>
    <row r="116" ht="38.25">
      <c r="A116" s="150" t="s">
        <v>595</v>
      </c>
    </row>
    <row r="117" ht="38.25">
      <c r="A117" s="150" t="s">
        <v>1152</v>
      </c>
    </row>
    <row r="118" ht="25.5">
      <c r="A118" s="150" t="s">
        <v>1153</v>
      </c>
    </row>
    <row r="119" ht="12.75">
      <c r="A119" s="150" t="s">
        <v>1154</v>
      </c>
    </row>
    <row r="120" ht="25.5">
      <c r="A120" s="150" t="s">
        <v>1155</v>
      </c>
    </row>
    <row r="121" ht="38.25">
      <c r="A121" s="150" t="s">
        <v>1156</v>
      </c>
    </row>
    <row r="122" ht="25.5">
      <c r="A122" s="150" t="s">
        <v>1157</v>
      </c>
    </row>
    <row r="123" ht="25.5">
      <c r="A123" s="150" t="s">
        <v>2021</v>
      </c>
    </row>
    <row r="124" ht="38.25">
      <c r="A124" s="150" t="s">
        <v>1406</v>
      </c>
    </row>
    <row r="125" ht="25.5">
      <c r="A125" s="150" t="s">
        <v>243</v>
      </c>
    </row>
    <row r="126" ht="38.25">
      <c r="A126" s="150" t="s">
        <v>244</v>
      </c>
    </row>
    <row r="127" ht="25.5">
      <c r="A127" s="150" t="s">
        <v>57</v>
      </c>
    </row>
    <row r="128" ht="25.5">
      <c r="A128" s="150" t="s">
        <v>522</v>
      </c>
    </row>
    <row r="129" ht="25.5">
      <c r="A129" s="150" t="s">
        <v>1318</v>
      </c>
    </row>
    <row r="130" ht="25.5">
      <c r="A130" s="150" t="s">
        <v>1319</v>
      </c>
    </row>
    <row r="131" ht="38.25">
      <c r="A131" s="150" t="s">
        <v>1601</v>
      </c>
    </row>
    <row r="133" ht="12.75">
      <c r="A133" s="154" t="s">
        <v>1579</v>
      </c>
    </row>
    <row r="135" ht="12.75">
      <c r="A135" s="251" t="s">
        <v>1236</v>
      </c>
    </row>
    <row r="136" ht="51">
      <c r="A136" s="355" t="s">
        <v>1905</v>
      </c>
    </row>
    <row r="137" ht="25.5">
      <c r="A137" s="150" t="s">
        <v>1851</v>
      </c>
    </row>
    <row r="138" ht="51">
      <c r="A138" s="150" t="s">
        <v>764</v>
      </c>
    </row>
    <row r="139" ht="25.5">
      <c r="A139" s="355" t="s">
        <v>1904</v>
      </c>
    </row>
    <row r="140" ht="25.5">
      <c r="A140" s="150" t="s">
        <v>1580</v>
      </c>
    </row>
    <row r="141" ht="38.25">
      <c r="A141" s="150" t="s">
        <v>1581</v>
      </c>
    </row>
    <row r="142" ht="25.5">
      <c r="A142" s="150" t="s">
        <v>1613</v>
      </c>
    </row>
    <row r="143" ht="25.5">
      <c r="A143" s="150" t="s">
        <v>523</v>
      </c>
    </row>
    <row r="144" ht="63.75">
      <c r="A144" s="150" t="s">
        <v>1614</v>
      </c>
    </row>
    <row r="145" ht="12.75">
      <c r="A145" s="150" t="s">
        <v>1023</v>
      </c>
    </row>
    <row r="146" ht="12.75">
      <c r="A146" s="151" t="s">
        <v>1024</v>
      </c>
    </row>
    <row r="147" ht="12.75">
      <c r="A147" s="151" t="s">
        <v>1025</v>
      </c>
    </row>
    <row r="148" ht="12.75">
      <c r="A148" s="151" t="s">
        <v>1026</v>
      </c>
    </row>
    <row r="149" ht="12.75">
      <c r="A149" s="151" t="s">
        <v>1027</v>
      </c>
    </row>
    <row r="150" ht="12.75">
      <c r="A150" s="151" t="s">
        <v>1574</v>
      </c>
    </row>
    <row r="151" ht="12.75">
      <c r="A151" s="151" t="s">
        <v>1575</v>
      </c>
    </row>
    <row r="152" ht="12.75">
      <c r="A152" s="151" t="s">
        <v>1576</v>
      </c>
    </row>
    <row r="153" ht="12.75">
      <c r="A153" s="151" t="s">
        <v>1577</v>
      </c>
    </row>
    <row r="154" ht="12.75">
      <c r="A154" s="151" t="s">
        <v>1578</v>
      </c>
    </row>
    <row r="155" ht="25.5">
      <c r="A155" s="150" t="s">
        <v>524</v>
      </c>
    </row>
    <row r="156" ht="25.5">
      <c r="A156" s="150" t="s">
        <v>1594</v>
      </c>
    </row>
  </sheetData>
  <sheetProtection/>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5.xml><?xml version="1.0" encoding="utf-8"?>
<worksheet xmlns="http://schemas.openxmlformats.org/spreadsheetml/2006/main" xmlns:r="http://schemas.openxmlformats.org/officeDocument/2006/relationships">
  <dimension ref="B1:K887"/>
  <sheetViews>
    <sheetView zoomScalePageLayoutView="0" workbookViewId="0" topLeftCell="A1">
      <selection activeCell="A1" sqref="A1"/>
    </sheetView>
  </sheetViews>
  <sheetFormatPr defaultColWidth="9.140625" defaultRowHeight="12.75"/>
  <cols>
    <col min="1" max="3" width="1.8515625" style="0" customWidth="1"/>
    <col min="4" max="4" width="38.57421875" style="0" customWidth="1"/>
    <col min="5" max="5" width="29.28125" style="254" hidden="1" customWidth="1"/>
    <col min="6" max="6" width="13.140625" style="254" hidden="1" customWidth="1"/>
    <col min="7" max="7" width="29.421875" style="307" hidden="1" customWidth="1"/>
    <col min="8" max="10" width="9.140625" style="0" hidden="1" customWidth="1"/>
    <col min="11" max="11" width="23.57421875" style="0" customWidth="1"/>
  </cols>
  <sheetData>
    <row r="1" spans="4:10" ht="12.75">
      <c r="D1" t="s">
        <v>1143</v>
      </c>
      <c r="E1" s="254">
        <v>2007</v>
      </c>
      <c r="F1" s="254" t="s">
        <v>10</v>
      </c>
      <c r="G1" s="307" t="s">
        <v>5</v>
      </c>
      <c r="H1" t="s">
        <v>3</v>
      </c>
      <c r="J1" t="s">
        <v>4</v>
      </c>
    </row>
    <row r="2" spans="2:11" ht="12.75">
      <c r="B2" t="s">
        <v>371</v>
      </c>
      <c r="K2" t="s">
        <v>2</v>
      </c>
    </row>
    <row r="3" spans="4:11" ht="12.75">
      <c r="D3" t="s">
        <v>372</v>
      </c>
      <c r="E3" s="254" t="str">
        <f>CLEAN(ContactName)</f>
        <v>Susan Boles</v>
      </c>
      <c r="G3" s="307" t="s">
        <v>372</v>
      </c>
      <c r="H3" t="s">
        <v>936</v>
      </c>
      <c r="J3">
        <v>1</v>
      </c>
      <c r="K3" t="str">
        <f aca="true" t="shared" si="0" ref="K3:K35">"&lt;"&amp;G3&amp;" Question="""&amp;H3&amp;"""&gt;"&amp;IF(J3=1,"&lt;![CDATA[","")&amp;E3&amp;IF(J3=1,"]]&gt;","")&amp;"&lt;/"&amp;G3&amp;"&gt;"</f>
        <v>&lt;ContactName Question="A0"&gt;&lt;![CDATA[Susan Boles]]&gt;&lt;/ContactName&gt;</v>
      </c>
    </row>
    <row r="4" spans="4:11" ht="12.75">
      <c r="D4" t="s">
        <v>374</v>
      </c>
      <c r="E4" s="254" t="str">
        <f>CLEAN(ContactTitle)</f>
        <v>Research Analyst</v>
      </c>
      <c r="G4" s="307" t="s">
        <v>374</v>
      </c>
      <c r="H4" t="s">
        <v>936</v>
      </c>
      <c r="J4">
        <v>1</v>
      </c>
      <c r="K4" t="str">
        <f t="shared" si="0"/>
        <v>&lt;ContactTitle Question="A0"&gt;&lt;![CDATA[Research Analyst]]&gt;&lt;/ContactTitle&gt;</v>
      </c>
    </row>
    <row r="5" spans="4:11" ht="12.75">
      <c r="D5" t="s">
        <v>375</v>
      </c>
      <c r="E5" s="254" t="str">
        <f>CLEAN(ContactOffice)</f>
        <v>Strategic Planning and Analysis</v>
      </c>
      <c r="G5" s="307" t="s">
        <v>375</v>
      </c>
      <c r="H5" t="s">
        <v>936</v>
      </c>
      <c r="J5">
        <v>1</v>
      </c>
      <c r="K5" t="str">
        <f t="shared" si="0"/>
        <v>&lt;ContactOffice Question="A0"&gt;&lt;![CDATA[Strategic Planning and Analysis]]&gt;&lt;/ContactOffice&gt;</v>
      </c>
    </row>
    <row r="6" spans="4:11" ht="12.75">
      <c r="D6" t="s">
        <v>1978</v>
      </c>
      <c r="E6" s="254" t="str">
        <f>CLEAN(ContactAddress1)</f>
        <v>109 Cary Street, Bell Hall</v>
      </c>
      <c r="G6" s="307" t="s">
        <v>1978</v>
      </c>
      <c r="H6" t="s">
        <v>936</v>
      </c>
      <c r="J6">
        <v>1</v>
      </c>
      <c r="K6" t="str">
        <f t="shared" si="0"/>
        <v>&lt;ContactAddress1 Question="A0"&gt;&lt;![CDATA[109 Cary Street, Bell Hall]]&gt;&lt;/ContactAddress1&gt;</v>
      </c>
    </row>
    <row r="7" spans="4:11" ht="12.75">
      <c r="D7" t="s">
        <v>1979</v>
      </c>
      <c r="E7" s="254">
        <f>CLEAN(ContactAddress2)</f>
      </c>
      <c r="G7" s="307" t="s">
        <v>1979</v>
      </c>
      <c r="H7" t="s">
        <v>936</v>
      </c>
      <c r="J7">
        <v>1</v>
      </c>
      <c r="K7" t="str">
        <f t="shared" si="0"/>
        <v>&lt;ContactAddress2 Question="A0"&gt;&lt;![CDATA[]]&gt;&lt;/ContactAddress2&gt;</v>
      </c>
    </row>
    <row r="8" spans="4:11" ht="12.75">
      <c r="D8" t="s">
        <v>376</v>
      </c>
      <c r="E8" s="254" t="str">
        <f>CLEAN(ContactCity)</f>
        <v>Williamsburg</v>
      </c>
      <c r="G8" s="307" t="s">
        <v>376</v>
      </c>
      <c r="H8" t="s">
        <v>936</v>
      </c>
      <c r="J8">
        <v>1</v>
      </c>
      <c r="K8" t="str">
        <f t="shared" si="0"/>
        <v>&lt;ContactCity Question="A0"&gt;&lt;![CDATA[Williamsburg]]&gt;&lt;/ContactCity&gt;</v>
      </c>
    </row>
    <row r="9" spans="4:11" ht="12.75">
      <c r="D9" t="s">
        <v>377</v>
      </c>
      <c r="E9" s="254" t="str">
        <f>CLEAN(ContactState)</f>
        <v>Virginia</v>
      </c>
      <c r="G9" s="307" t="s">
        <v>377</v>
      </c>
      <c r="H9" t="s">
        <v>936</v>
      </c>
      <c r="K9" t="str">
        <f t="shared" si="0"/>
        <v>&lt;ContactState Question="A0"&gt;Virginia&lt;/ContactState&gt;</v>
      </c>
    </row>
    <row r="10" spans="4:11" ht="12.75">
      <c r="D10" t="s">
        <v>378</v>
      </c>
      <c r="E10" s="254" t="str">
        <f>CLEAN(ContactZip)</f>
        <v>23187-8795</v>
      </c>
      <c r="G10" s="307" t="s">
        <v>378</v>
      </c>
      <c r="H10" t="s">
        <v>936</v>
      </c>
      <c r="K10" t="str">
        <f t="shared" si="0"/>
        <v>&lt;ContactZip Question="A0"&gt;23187-8795&lt;/ContactZip&gt;</v>
      </c>
    </row>
    <row r="11" spans="4:11" ht="12.75">
      <c r="D11" t="s">
        <v>379</v>
      </c>
      <c r="E11" s="254" t="str">
        <f>CLEAN(ContactCountry)</f>
        <v>USA</v>
      </c>
      <c r="G11" s="307" t="s">
        <v>379</v>
      </c>
      <c r="H11" t="s">
        <v>936</v>
      </c>
      <c r="K11" t="str">
        <f t="shared" si="0"/>
        <v>&lt;ContactCountry Question="A0"&gt;USA&lt;/ContactCountry&gt;</v>
      </c>
    </row>
    <row r="12" spans="4:11" ht="12.75">
      <c r="D12" t="s">
        <v>380</v>
      </c>
      <c r="E12" s="254" t="str">
        <f>CLEAN(ContactPhone)</f>
        <v>757-221-2081</v>
      </c>
      <c r="G12" s="307" t="s">
        <v>380</v>
      </c>
      <c r="H12" t="s">
        <v>936</v>
      </c>
      <c r="K12" t="str">
        <f t="shared" si="0"/>
        <v>&lt;ContactPhone Question="A0"&gt;757-221-2081&lt;/ContactPhone&gt;</v>
      </c>
    </row>
    <row r="13" spans="4:11" ht="12.75">
      <c r="D13" t="s">
        <v>381</v>
      </c>
      <c r="E13" s="254" t="str">
        <f>CLEAN(ContactFax)</f>
        <v>757-221-2080</v>
      </c>
      <c r="G13" s="307" t="s">
        <v>381</v>
      </c>
      <c r="H13" t="s">
        <v>936</v>
      </c>
      <c r="K13" t="str">
        <f t="shared" si="0"/>
        <v>&lt;ContactFax Question="A0"&gt;757-221-2080&lt;/ContactFax&gt;</v>
      </c>
    </row>
    <row r="14" spans="4:11" ht="12.75">
      <c r="D14" t="s">
        <v>382</v>
      </c>
      <c r="E14" s="254" t="str">
        <f>CLEAN(ContactEmail)</f>
        <v>ospa@wm.edu</v>
      </c>
      <c r="G14" s="307" t="s">
        <v>382</v>
      </c>
      <c r="H14" t="s">
        <v>936</v>
      </c>
      <c r="J14">
        <v>1</v>
      </c>
      <c r="K14" t="str">
        <f t="shared" si="0"/>
        <v>&lt;ContactEmail Question="A0"&gt;&lt;![CDATA[ospa@wm.edu]]&gt;&lt;/ContactEmail&gt;</v>
      </c>
    </row>
    <row r="15" spans="4:11" ht="12.75">
      <c r="D15" t="s">
        <v>383</v>
      </c>
      <c r="E15" s="254" t="str">
        <f>CLEAN(IF(CDSOnSite1&lt;&gt;"",1,IF(CDSOnSite2&lt;&gt;"",0,-1)))</f>
        <v>1</v>
      </c>
      <c r="G15" s="307" t="s">
        <v>383</v>
      </c>
      <c r="H15" t="s">
        <v>936</v>
      </c>
      <c r="K15" t="str">
        <f t="shared" si="0"/>
        <v>&lt;CDSOnSite Question="A0"&gt;1&lt;/CDSOnSite&gt;</v>
      </c>
    </row>
    <row r="16" spans="4:11" ht="12.75">
      <c r="D16" t="s">
        <v>384</v>
      </c>
      <c r="E16" s="254" t="str">
        <f>CLEAN(CDSOnSiteLink)</f>
        <v>http://www.wm.edu/ir/CDS/cds.html</v>
      </c>
      <c r="G16" s="307" t="s">
        <v>384</v>
      </c>
      <c r="H16" t="s">
        <v>936</v>
      </c>
      <c r="J16">
        <v>1</v>
      </c>
      <c r="K16" t="str">
        <f t="shared" si="0"/>
        <v>&lt;CDSOnSiteLink Question="A0"&gt;&lt;![CDATA[http://www.wm.edu/ir/CDS/cds.html]]&gt;&lt;/CDSOnSiteLink&gt;</v>
      </c>
    </row>
    <row r="17" spans="4:11" ht="12.75">
      <c r="D17" t="s">
        <v>554</v>
      </c>
      <c r="E17" s="254">
        <f>CLEAN(CDSConcerns)</f>
      </c>
      <c r="G17" s="307" t="s">
        <v>554</v>
      </c>
      <c r="H17" t="s">
        <v>1557</v>
      </c>
      <c r="J17">
        <v>1</v>
      </c>
      <c r="K17" t="str">
        <f t="shared" si="0"/>
        <v>&lt;CDSConcerns Question="A0A"&gt;&lt;![CDATA[]]&gt;&lt;/CDSConcerns&gt;</v>
      </c>
    </row>
    <row r="18" spans="4:11" ht="12.75">
      <c r="D18" t="s">
        <v>373</v>
      </c>
      <c r="E18" s="254" t="str">
        <f>CLEAN(CollegeName)</f>
        <v>The College of William and Mary in Virginia</v>
      </c>
      <c r="G18" s="307" t="s">
        <v>373</v>
      </c>
      <c r="H18" t="s">
        <v>1595</v>
      </c>
      <c r="J18">
        <v>1</v>
      </c>
      <c r="K18" t="str">
        <f t="shared" si="0"/>
        <v>&lt;CollegeName Question="A1"&gt;&lt;![CDATA[The College of William and Mary in Virginia]]&gt;&lt;/CollegeName&gt;</v>
      </c>
    </row>
    <row r="19" spans="4:11" ht="12.75">
      <c r="D19" t="s">
        <v>7</v>
      </c>
      <c r="E19" s="254" t="str">
        <f>CLEAN(Address1)</f>
        <v>PO Box 8795</v>
      </c>
      <c r="G19" s="307" t="s">
        <v>7</v>
      </c>
      <c r="H19" t="s">
        <v>1595</v>
      </c>
      <c r="J19">
        <v>1</v>
      </c>
      <c r="K19" t="str">
        <f t="shared" si="0"/>
        <v>&lt;Address1 Question="A1"&gt;&lt;![CDATA[PO Box 8795]]&gt;&lt;/Address1&gt;</v>
      </c>
    </row>
    <row r="20" spans="4:11" ht="12.75">
      <c r="D20" t="s">
        <v>6</v>
      </c>
      <c r="E20" s="254">
        <f>CLEAN(Address2)</f>
      </c>
      <c r="G20" s="307" t="s">
        <v>6</v>
      </c>
      <c r="H20" t="s">
        <v>1595</v>
      </c>
      <c r="J20">
        <v>1</v>
      </c>
      <c r="K20" t="str">
        <f t="shared" si="0"/>
        <v>&lt;Address2 Question="A1"&gt;&lt;![CDATA[]]&gt;&lt;/Address2&gt;</v>
      </c>
    </row>
    <row r="21" spans="4:11" ht="12.75">
      <c r="D21" t="s">
        <v>385</v>
      </c>
      <c r="E21" s="254" t="str">
        <f>CLEAN(City)</f>
        <v>Williamsburg</v>
      </c>
      <c r="G21" s="307" t="s">
        <v>385</v>
      </c>
      <c r="H21" t="s">
        <v>1595</v>
      </c>
      <c r="J21">
        <v>1</v>
      </c>
      <c r="K21" t="str">
        <f t="shared" si="0"/>
        <v>&lt;City Question="A1"&gt;&lt;![CDATA[Williamsburg]]&gt;&lt;/City&gt;</v>
      </c>
    </row>
    <row r="22" spans="4:11" ht="12.75">
      <c r="D22" t="s">
        <v>386</v>
      </c>
      <c r="E22" s="254" t="str">
        <f>CLEAN(State)</f>
        <v>Virginia</v>
      </c>
      <c r="G22" s="307" t="s">
        <v>386</v>
      </c>
      <c r="H22" t="s">
        <v>1595</v>
      </c>
      <c r="K22" t="str">
        <f t="shared" si="0"/>
        <v>&lt;State Question="A1"&gt;Virginia&lt;/State&gt;</v>
      </c>
    </row>
    <row r="23" spans="4:11" ht="12.75">
      <c r="D23" t="s">
        <v>387</v>
      </c>
      <c r="E23" s="254" t="str">
        <f>CLEAN(Zip)</f>
        <v>23187-8795</v>
      </c>
      <c r="G23" s="307" t="s">
        <v>387</v>
      </c>
      <c r="H23" t="s">
        <v>1595</v>
      </c>
      <c r="K23" t="str">
        <f t="shared" si="0"/>
        <v>&lt;Zip Question="A1"&gt;23187-8795&lt;/Zip&gt;</v>
      </c>
    </row>
    <row r="24" spans="4:11" ht="12.75">
      <c r="D24" t="s">
        <v>388</v>
      </c>
      <c r="E24" s="254" t="str">
        <f>CLEAN(Country)</f>
        <v>USA</v>
      </c>
      <c r="G24" s="307" t="s">
        <v>388</v>
      </c>
      <c r="H24" t="s">
        <v>1595</v>
      </c>
      <c r="K24" t="str">
        <f t="shared" si="0"/>
        <v>&lt;Country Question="A1"&gt;USA&lt;/Country&gt;</v>
      </c>
    </row>
    <row r="25" spans="4:11" ht="12.75">
      <c r="D25" t="s">
        <v>8</v>
      </c>
      <c r="E25" s="254">
        <f>CLEAN(StreetAddress1)</f>
      </c>
      <c r="G25" s="307" t="s">
        <v>8</v>
      </c>
      <c r="H25" t="s">
        <v>1595</v>
      </c>
      <c r="J25">
        <v>1</v>
      </c>
      <c r="K25" t="str">
        <f t="shared" si="0"/>
        <v>&lt;StreetAddress1 Question="A1"&gt;&lt;![CDATA[]]&gt;&lt;/StreetAddress1&gt;</v>
      </c>
    </row>
    <row r="26" spans="4:11" ht="12.75">
      <c r="D26" t="s">
        <v>9</v>
      </c>
      <c r="E26" s="254">
        <f>CLEAN(StreetAddress2)</f>
      </c>
      <c r="G26" s="307" t="s">
        <v>9</v>
      </c>
      <c r="H26" t="s">
        <v>1595</v>
      </c>
      <c r="J26">
        <v>1</v>
      </c>
      <c r="K26" t="str">
        <f t="shared" si="0"/>
        <v>&lt;StreetAddress2 Question="A1"&gt;&lt;![CDATA[]]&gt;&lt;/StreetAddress2&gt;</v>
      </c>
    </row>
    <row r="27" spans="4:11" ht="12.75">
      <c r="D27" t="s">
        <v>389</v>
      </c>
      <c r="E27" s="254">
        <f>CLEAN(StreetCity)</f>
      </c>
      <c r="G27" s="307" t="s">
        <v>389</v>
      </c>
      <c r="H27" t="s">
        <v>1595</v>
      </c>
      <c r="J27">
        <v>1</v>
      </c>
      <c r="K27" t="str">
        <f t="shared" si="0"/>
        <v>&lt;StreetCity Question="A1"&gt;&lt;![CDATA[]]&gt;&lt;/StreetCity&gt;</v>
      </c>
    </row>
    <row r="28" spans="4:11" ht="12.75">
      <c r="D28" t="s">
        <v>390</v>
      </c>
      <c r="E28" s="254">
        <f>CLEAN(StreetState)</f>
      </c>
      <c r="G28" s="307" t="s">
        <v>390</v>
      </c>
      <c r="H28" t="s">
        <v>1595</v>
      </c>
      <c r="K28" t="str">
        <f t="shared" si="0"/>
        <v>&lt;StreetState Question="A1"&gt;&lt;/StreetState&gt;</v>
      </c>
    </row>
    <row r="29" spans="4:11" ht="12.75">
      <c r="D29" t="s">
        <v>391</v>
      </c>
      <c r="E29" s="254">
        <f>CLEAN(StreetZip)</f>
      </c>
      <c r="G29" s="307" t="s">
        <v>391</v>
      </c>
      <c r="H29" t="s">
        <v>1595</v>
      </c>
      <c r="K29" t="str">
        <f t="shared" si="0"/>
        <v>&lt;StreetZip Question="A1"&gt;&lt;/StreetZip&gt;</v>
      </c>
    </row>
    <row r="30" spans="4:11" ht="12.75">
      <c r="D30" t="s">
        <v>392</v>
      </c>
      <c r="E30" s="254">
        <f>CLEAN(StreetCountry)</f>
      </c>
      <c r="G30" s="307" t="s">
        <v>392</v>
      </c>
      <c r="H30" t="s">
        <v>1595</v>
      </c>
      <c r="K30" t="str">
        <f t="shared" si="0"/>
        <v>&lt;StreetCountry Question="A1"&gt;&lt;/StreetCountry&gt;</v>
      </c>
    </row>
    <row r="31" spans="4:11" ht="12.75">
      <c r="D31" t="s">
        <v>1765</v>
      </c>
      <c r="E31" s="254" t="str">
        <f>CLEAN(GeneralPhone)</f>
        <v>757-221-4000</v>
      </c>
      <c r="G31" s="307" t="s">
        <v>1765</v>
      </c>
      <c r="H31" t="s">
        <v>1595</v>
      </c>
      <c r="K31" t="str">
        <f t="shared" si="0"/>
        <v>&lt;GeneralPhone Question="A1"&gt;757-221-4000&lt;/GeneralPhone&gt;</v>
      </c>
    </row>
    <row r="32" spans="4:11" ht="12.75">
      <c r="D32" t="s">
        <v>555</v>
      </c>
      <c r="E32" s="254" t="str">
        <f>CLEAN(HomePageURL)</f>
        <v>http://www.wm.edu</v>
      </c>
      <c r="G32" s="307" t="s">
        <v>555</v>
      </c>
      <c r="H32" t="s">
        <v>1595</v>
      </c>
      <c r="J32">
        <v>1</v>
      </c>
      <c r="K32" t="str">
        <f t="shared" si="0"/>
        <v>&lt;HomePageURL Question="A1"&gt;&lt;![CDATA[http://www.wm.edu]]&gt;&lt;/HomePageURL&gt;</v>
      </c>
    </row>
    <row r="33" spans="4:11" ht="12.75">
      <c r="D33" t="s">
        <v>1764</v>
      </c>
      <c r="E33" s="254" t="str">
        <f>CLEAN(AdmissionsPhone)</f>
        <v>757-221-4223</v>
      </c>
      <c r="G33" s="307" t="s">
        <v>1764</v>
      </c>
      <c r="H33" t="s">
        <v>1595</v>
      </c>
      <c r="K33" t="str">
        <f t="shared" si="0"/>
        <v>&lt;AdmissionsPhone Question="A1"&gt;757-221-4223&lt;/AdmissionsPhone&gt;</v>
      </c>
    </row>
    <row r="34" spans="4:11" ht="12.75">
      <c r="D34" t="s">
        <v>556</v>
      </c>
      <c r="E34" s="254" t="str">
        <f>CLEAN(AdmissionsTollFreePhone)</f>
        <v>NA</v>
      </c>
      <c r="G34" s="307" t="s">
        <v>556</v>
      </c>
      <c r="H34" t="s">
        <v>1595</v>
      </c>
      <c r="K34" t="str">
        <f t="shared" si="0"/>
        <v>&lt;AdmissionsTollFreePhone Question="A1"&gt;NA&lt;/AdmissionsTollFreePhone&gt;</v>
      </c>
    </row>
    <row r="35" spans="4:11" ht="12.75">
      <c r="D35" t="str">
        <f>"Admissions"&amp;D19</f>
        <v>AdmissionsAddress1</v>
      </c>
      <c r="E35" s="254" t="str">
        <f>CLEAN(AdmissionsAddress1)</f>
        <v>Office of Admissions, PO Box 8795</v>
      </c>
      <c r="G35" s="307" t="s">
        <v>11</v>
      </c>
      <c r="H35" t="s">
        <v>1595</v>
      </c>
      <c r="J35">
        <v>1</v>
      </c>
      <c r="K35" t="str">
        <f t="shared" si="0"/>
        <v>&lt;AdmissionsAddress1 Question="A1"&gt;&lt;![CDATA[Office of Admissions, PO Box 8795]]&gt;&lt;/AdmissionsAddress1&gt;</v>
      </c>
    </row>
    <row r="36" spans="4:11" ht="12.75">
      <c r="D36" t="str">
        <f>"Admissions"&amp;D20</f>
        <v>AdmissionsAddress2</v>
      </c>
      <c r="E36" s="254">
        <f>CLEAN(AdmissionsAddress2)</f>
      </c>
      <c r="G36" s="307" t="s">
        <v>12</v>
      </c>
      <c r="H36" t="s">
        <v>1595</v>
      </c>
      <c r="J36">
        <v>1</v>
      </c>
      <c r="K36" t="str">
        <f aca="true" t="shared" si="1" ref="K36:K60">"&lt;"&amp;G36&amp;" Question="""&amp;H36&amp;"""&gt;"&amp;IF(J36=1,"&lt;![CDATA[","")&amp;E36&amp;IF(J36=1,"]]&gt;","")&amp;"&lt;/"&amp;G36&amp;"&gt;"</f>
        <v>&lt;AdmissionsAddress2 Question="A1"&gt;&lt;![CDATA[]]&gt;&lt;/AdmissionsAddress2&gt;</v>
      </c>
    </row>
    <row r="37" spans="4:11" ht="12.75">
      <c r="D37" t="s">
        <v>557</v>
      </c>
      <c r="E37" s="254" t="str">
        <f>CLEAN(AdmissionsCity)</f>
        <v>Williamsburg</v>
      </c>
      <c r="G37" s="307" t="s">
        <v>557</v>
      </c>
      <c r="H37" t="s">
        <v>1595</v>
      </c>
      <c r="J37">
        <v>1</v>
      </c>
      <c r="K37" t="str">
        <f t="shared" si="1"/>
        <v>&lt;AdmissionsCity Question="A1"&gt;&lt;![CDATA[Williamsburg]]&gt;&lt;/AdmissionsCity&gt;</v>
      </c>
    </row>
    <row r="38" spans="4:11" ht="12.75">
      <c r="D38" t="s">
        <v>558</v>
      </c>
      <c r="E38" s="254" t="str">
        <f>CLEAN(AdmissionsState)</f>
        <v>Virginia</v>
      </c>
      <c r="G38" s="307" t="s">
        <v>558</v>
      </c>
      <c r="H38" t="s">
        <v>1595</v>
      </c>
      <c r="K38" t="str">
        <f t="shared" si="1"/>
        <v>&lt;AdmissionsState Question="A1"&gt;Virginia&lt;/AdmissionsState&gt;</v>
      </c>
    </row>
    <row r="39" spans="4:11" ht="12.75">
      <c r="D39" t="s">
        <v>559</v>
      </c>
      <c r="E39" s="254" t="str">
        <f>CLEAN(AdmissionsZip)</f>
        <v>23187-8795</v>
      </c>
      <c r="G39" s="307" t="s">
        <v>559</v>
      </c>
      <c r="H39" t="s">
        <v>1595</v>
      </c>
      <c r="K39" t="str">
        <f t="shared" si="1"/>
        <v>&lt;AdmissionsZip Question="A1"&gt;23187-8795&lt;/AdmissionsZip&gt;</v>
      </c>
    </row>
    <row r="40" spans="4:11" ht="12.75">
      <c r="D40" t="s">
        <v>560</v>
      </c>
      <c r="E40" s="254" t="str">
        <f>CLEAN(AdmissionsCountry)</f>
        <v>USA</v>
      </c>
      <c r="G40" s="307" t="s">
        <v>560</v>
      </c>
      <c r="H40" t="s">
        <v>1595</v>
      </c>
      <c r="K40" t="str">
        <f t="shared" si="1"/>
        <v>&lt;AdmissionsCountry Question="A1"&gt;USA&lt;/AdmissionsCountry&gt;</v>
      </c>
    </row>
    <row r="41" spans="4:11" ht="12.75">
      <c r="D41" t="s">
        <v>561</v>
      </c>
      <c r="E41" s="254" t="str">
        <f>CLEAN(AdmissionsFax)</f>
        <v>757-221-1242</v>
      </c>
      <c r="G41" s="307" t="s">
        <v>561</v>
      </c>
      <c r="H41" t="s">
        <v>1595</v>
      </c>
      <c r="K41" t="str">
        <f t="shared" si="1"/>
        <v>&lt;AdmissionsFax Question="A1"&gt;757-221-1242&lt;/AdmissionsFax&gt;</v>
      </c>
    </row>
    <row r="42" spans="4:11" ht="12.75">
      <c r="D42" t="s">
        <v>562</v>
      </c>
      <c r="E42" s="254" t="str">
        <f>CLEAN(AdmissionsEmail)</f>
        <v>admiss@wm.edu</v>
      </c>
      <c r="G42" s="307" t="s">
        <v>562</v>
      </c>
      <c r="H42" t="s">
        <v>1595</v>
      </c>
      <c r="J42">
        <v>1</v>
      </c>
      <c r="K42" t="str">
        <f t="shared" si="1"/>
        <v>&lt;AdmissionsEmail Question="A1"&gt;&lt;![CDATA[admiss@wm.edu]]&gt;&lt;/AdmissionsEmail&gt;</v>
      </c>
    </row>
    <row r="43" spans="4:11" ht="12.75">
      <c r="D43" t="s">
        <v>1838</v>
      </c>
      <c r="E43" s="254" t="str">
        <f>CLEAN(OnlineApplicationURL)</f>
        <v>http://www.wm.edu/admission/</v>
      </c>
      <c r="G43" s="307" t="s">
        <v>1838</v>
      </c>
      <c r="H43" t="s">
        <v>1595</v>
      </c>
      <c r="J43">
        <v>1</v>
      </c>
      <c r="K43" t="str">
        <f t="shared" si="1"/>
        <v>&lt;OnlineApplicationURL Question="A1"&gt;&lt;![CDATA[http://www.wm.edu/admission/]]&gt;&lt;/OnlineApplicationURL&gt;</v>
      </c>
    </row>
    <row r="44" spans="4:11" ht="12.75">
      <c r="D44" t="s">
        <v>1298</v>
      </c>
      <c r="E44" s="254">
        <f>CLEAN(AltMailingAddress)</f>
      </c>
      <c r="G44" s="307" t="s">
        <v>1298</v>
      </c>
      <c r="H44" t="s">
        <v>1595</v>
      </c>
      <c r="J44">
        <v>1</v>
      </c>
      <c r="K44" t="str">
        <f t="shared" si="1"/>
        <v>&lt;AltMailingAddress Question="A1"&gt;&lt;![CDATA[]]&gt;&lt;/AltMailingAddress&gt;</v>
      </c>
    </row>
    <row r="45" spans="4:11" ht="12.75">
      <c r="D45" t="s">
        <v>563</v>
      </c>
      <c r="E45" s="254">
        <f>IF(InstitutionalControl1&lt;&gt;"",1,IF(InstitutionalControl2&lt;&gt;"",2,IF(InstitutionalControl3&lt;&gt;"",3,-1)))</f>
        <v>1</v>
      </c>
      <c r="G45" s="307" t="s">
        <v>563</v>
      </c>
      <c r="H45" t="s">
        <v>1596</v>
      </c>
      <c r="K45" t="str">
        <f t="shared" si="1"/>
        <v>&lt;InstitutionalControl Question="A2"&gt;1&lt;/InstitutionalControl&gt;</v>
      </c>
    </row>
    <row r="46" spans="4:11" ht="12.75">
      <c r="D46" t="s">
        <v>564</v>
      </c>
      <c r="E46" s="254">
        <f>IF(CoedStatus1&lt;&gt;"",1,IF(CoedStatus2&lt;&gt;"",2,IF(CoedStatus3&lt;&gt;"",3,-1)))</f>
        <v>1</v>
      </c>
      <c r="G46" s="307" t="s">
        <v>564</v>
      </c>
      <c r="H46" t="s">
        <v>1597</v>
      </c>
      <c r="K46" t="str">
        <f t="shared" si="1"/>
        <v>&lt;CoedStatus Question="A3"&gt;1&lt;/CoedStatus&gt;</v>
      </c>
    </row>
    <row r="47" spans="4:11" ht="12.75">
      <c r="D47" t="s">
        <v>1299</v>
      </c>
      <c r="E47" s="254">
        <f>IF(AcademicCalendar1&lt;&gt;"",1,IF(AcademicCalendar2&lt;&gt;"",2,IF(AcademicCalendar3&lt;&gt;"",3,IF(AcademicCalendar4&lt;&gt;"",4,IF(AcademicCalendar5&lt;&gt;"",5,IF(AcademicCalendar6&lt;&gt;"",6,IF(AcademicCalendar7&lt;&gt;"",7,-1)))))))</f>
        <v>1</v>
      </c>
      <c r="F47" t="str">
        <f>"=If("&amp;D47&amp;"1&lt;&gt;"""",""Semester"",if("&amp;D47&amp;"2&lt;&gt;"""",""Quarter"",if("&amp;D47&amp;"3&lt;&gt;"""",""Trimester"",if("&amp;D47&amp;"4&lt;&gt;"""",""FourOneFour"",if("&amp;D47&amp;"5&lt;&gt;"""",""Continuous"",if("&amp;D47&amp;"6&lt;&gt;"""",""DiffersByProgram"",if("&amp;D47&amp;"7&lt;&gt;"""",""Other"","""")))))))"</f>
        <v>=If(AcademicCalendar1&lt;&gt;"","Semester",if(AcademicCalendar2&lt;&gt;"","Quarter",if(AcademicCalendar3&lt;&gt;"","Trimester",if(AcademicCalendar4&lt;&gt;"","FourOneFour",if(AcademicCalendar5&lt;&gt;"","Continuous",if(AcademicCalendar6&lt;&gt;"","DiffersByProgram",if(AcademicCalendar7&lt;&gt;"","Other","")))))))</v>
      </c>
      <c r="G47" s="307" t="s">
        <v>1299</v>
      </c>
      <c r="H47" t="s">
        <v>1598</v>
      </c>
      <c r="K47" t="str">
        <f t="shared" si="1"/>
        <v>&lt;AcademicCalendar Question="A4"&gt;1&lt;/AcademicCalendar&gt;</v>
      </c>
    </row>
    <row r="48" spans="4:11" ht="12.75">
      <c r="D48" t="s">
        <v>1300</v>
      </c>
      <c r="E48" s="254">
        <f>IF(AcademicCalendar6&lt;&gt;"",AcademicCalendarDiffersDescription,IF(AcademicCalendar7&lt;&gt;"",AcademicCalendarOtherDescription,""))</f>
      </c>
      <c r="F48"/>
      <c r="G48" s="307" t="s">
        <v>1300</v>
      </c>
      <c r="H48" t="s">
        <v>1598</v>
      </c>
      <c r="J48">
        <v>1</v>
      </c>
      <c r="K48" t="str">
        <f t="shared" si="1"/>
        <v>&lt;AcademicCalendarExplain Question="A4"&gt;&lt;![CDATA[]]&gt;&lt;/AcademicCalendarExplain&gt;</v>
      </c>
    </row>
    <row r="49" spans="4:11" ht="12.75">
      <c r="D49" t="s">
        <v>13</v>
      </c>
      <c r="E49" s="254" t="str">
        <f>IF(DegreesOfferedCertificate&lt;&gt;"","True","False")</f>
        <v>False</v>
      </c>
      <c r="F49" t="str">
        <f>"=IF("&amp;D49&amp;"&lt;&gt;"""",""True"",""False"")"</f>
        <v>=IF(DegreesOfferedCertificate&lt;&gt;"","True","False")</v>
      </c>
      <c r="G49" s="307" t="s">
        <v>13</v>
      </c>
      <c r="H49" t="s">
        <v>1599</v>
      </c>
      <c r="K49" t="str">
        <f t="shared" si="1"/>
        <v>&lt;DegreesOfferedCertificate Question="A5"&gt;False&lt;/DegreesOfferedCertificate&gt;</v>
      </c>
    </row>
    <row r="50" spans="4:11" ht="12.75">
      <c r="D50" t="s">
        <v>14</v>
      </c>
      <c r="E50" s="254" t="str">
        <f>IF(DegreesOfferedDiploma&lt;&gt;"","True","False")</f>
        <v>False</v>
      </c>
      <c r="F50"/>
      <c r="G50" s="307" t="s">
        <v>14</v>
      </c>
      <c r="H50" t="s">
        <v>1599</v>
      </c>
      <c r="K50" t="str">
        <f t="shared" si="1"/>
        <v>&lt;DegreesOfferedDiploma Question="A5"&gt;False&lt;/DegreesOfferedDiploma&gt;</v>
      </c>
    </row>
    <row r="51" spans="4:11" ht="12.75">
      <c r="D51" t="s">
        <v>15</v>
      </c>
      <c r="E51" s="254" t="str">
        <f>IF(DegreesOfferedAssociates&lt;&gt;"","True","False")</f>
        <v>False</v>
      </c>
      <c r="F51"/>
      <c r="G51" s="307" t="s">
        <v>15</v>
      </c>
      <c r="H51" t="s">
        <v>1599</v>
      </c>
      <c r="K51" t="str">
        <f t="shared" si="1"/>
        <v>&lt;DegreesOfferedAssociates Question="A5"&gt;False&lt;/DegreesOfferedAssociates&gt;</v>
      </c>
    </row>
    <row r="52" spans="4:11" ht="12.75">
      <c r="D52" t="s">
        <v>16</v>
      </c>
      <c r="E52" s="254" t="str">
        <f>IF(DegreesOfferedTransferAssociates&lt;&gt;"","True","False")</f>
        <v>False</v>
      </c>
      <c r="F52"/>
      <c r="G52" s="307" t="s">
        <v>16</v>
      </c>
      <c r="H52" t="s">
        <v>1599</v>
      </c>
      <c r="K52" t="str">
        <f t="shared" si="1"/>
        <v>&lt;DegreesOfferedTransferAssociates Question="A5"&gt;False&lt;/DegreesOfferedTransferAssociates&gt;</v>
      </c>
    </row>
    <row r="53" spans="4:11" ht="12.75">
      <c r="D53" t="s">
        <v>17</v>
      </c>
      <c r="E53" s="254" t="str">
        <f>IF(DegreesOfferedTerminalAssociates&lt;&gt;"","True","False")</f>
        <v>False</v>
      </c>
      <c r="F53"/>
      <c r="G53" s="307" t="s">
        <v>17</v>
      </c>
      <c r="H53" t="s">
        <v>1599</v>
      </c>
      <c r="K53" t="str">
        <f t="shared" si="1"/>
        <v>&lt;DegreesOfferedTerminalAssociates Question="A5"&gt;False&lt;/DegreesOfferedTerminalAssociates&gt;</v>
      </c>
    </row>
    <row r="54" spans="4:11" ht="12.75">
      <c r="D54" t="s">
        <v>18</v>
      </c>
      <c r="E54" s="254" t="str">
        <f>IF(DegreesOfferedBachelors&lt;&gt;"","True","False")</f>
        <v>True</v>
      </c>
      <c r="F54"/>
      <c r="G54" s="307" t="s">
        <v>18</v>
      </c>
      <c r="H54" t="s">
        <v>1599</v>
      </c>
      <c r="K54" t="str">
        <f t="shared" si="1"/>
        <v>&lt;DegreesOfferedBachelors Question="A5"&gt;True&lt;/DegreesOfferedBachelors&gt;</v>
      </c>
    </row>
    <row r="55" spans="4:11" ht="12.75">
      <c r="D55" t="s">
        <v>19</v>
      </c>
      <c r="E55" s="254" t="str">
        <f>IF(DegreesOfferedPostbachelorCertificate&lt;&gt;"","True","False")</f>
        <v>False</v>
      </c>
      <c r="F55"/>
      <c r="G55" s="307" t="s">
        <v>19</v>
      </c>
      <c r="H55" t="s">
        <v>1599</v>
      </c>
      <c r="K55" t="str">
        <f t="shared" si="1"/>
        <v>&lt;DegreesOfferedPostbachelorCertificate Question="A5"&gt;False&lt;/DegreesOfferedPostbachelorCertificate&gt;</v>
      </c>
    </row>
    <row r="56" spans="4:11" ht="12.75">
      <c r="D56" t="s">
        <v>20</v>
      </c>
      <c r="E56" s="254" t="str">
        <f>IF(DegreesOfferedMasters&lt;&gt;"","True","False")</f>
        <v>True</v>
      </c>
      <c r="F56"/>
      <c r="G56" s="307" t="s">
        <v>20</v>
      </c>
      <c r="H56" t="s">
        <v>1599</v>
      </c>
      <c r="K56" t="str">
        <f t="shared" si="1"/>
        <v>&lt;DegreesOfferedMasters Question="A5"&gt;True&lt;/DegreesOfferedMasters&gt;</v>
      </c>
    </row>
    <row r="57" spans="4:11" ht="12.75">
      <c r="D57" t="s">
        <v>21</v>
      </c>
      <c r="E57" s="254" t="str">
        <f>IF(DegreesOfferedPostMastersCertificate&lt;&gt;"","True","False")</f>
        <v>True</v>
      </c>
      <c r="F57"/>
      <c r="G57" s="307" t="s">
        <v>21</v>
      </c>
      <c r="H57" t="s">
        <v>1599</v>
      </c>
      <c r="K57" t="str">
        <f t="shared" si="1"/>
        <v>&lt;DegreesOfferedPostMastersCertificate Question="A5"&gt;True&lt;/DegreesOfferedPostMastersCertificate&gt;</v>
      </c>
    </row>
    <row r="58" spans="4:11" ht="12.75">
      <c r="D58" t="s">
        <v>22</v>
      </c>
      <c r="E58" s="254" t="str">
        <f>IF(DegreesOfferedDoctoral&lt;&gt;"","True","False")</f>
        <v>True</v>
      </c>
      <c r="F58"/>
      <c r="G58" s="307" t="s">
        <v>22</v>
      </c>
      <c r="H58" t="s">
        <v>1599</v>
      </c>
      <c r="K58" t="str">
        <f t="shared" si="1"/>
        <v>&lt;DegreesOfferedDoctoral Question="A5"&gt;True&lt;/DegreesOfferedDoctoral&gt;</v>
      </c>
    </row>
    <row r="59" spans="4:11" ht="12.75">
      <c r="D59" t="s">
        <v>23</v>
      </c>
      <c r="E59" s="254" t="str">
        <f>IF(DegreesOfferedFirstProfessional&lt;&gt;"","True","False")</f>
        <v>True</v>
      </c>
      <c r="F59"/>
      <c r="G59" s="307" t="s">
        <v>23</v>
      </c>
      <c r="H59" t="s">
        <v>1599</v>
      </c>
      <c r="K59" t="str">
        <f t="shared" si="1"/>
        <v>&lt;DegreesOfferedFirstProfessional Question="A5"&gt;True&lt;/DegreesOfferedFirstProfessional&gt;</v>
      </c>
    </row>
    <row r="60" spans="4:11" ht="12.75">
      <c r="D60" t="s">
        <v>24</v>
      </c>
      <c r="E60" s="254" t="str">
        <f>IF(DegreesOfferedFirstProfessionalCertificate&lt;&gt;"","True","False")</f>
        <v>False</v>
      </c>
      <c r="F60"/>
      <c r="G60" s="307" t="s">
        <v>24</v>
      </c>
      <c r="H60" t="s">
        <v>1599</v>
      </c>
      <c r="K60" t="str">
        <f t="shared" si="1"/>
        <v>&lt;DegreesOfferedFirstProfessionalCertificate Question="A5"&gt;False&lt;/DegreesOfferedFirstProfessionalCertificate&gt;</v>
      </c>
    </row>
    <row r="61" spans="6:11" ht="12.75">
      <c r="F61"/>
      <c r="K61" t="s">
        <v>25</v>
      </c>
    </row>
    <row r="62" spans="2:11" ht="12.75">
      <c r="B62" t="s">
        <v>1777</v>
      </c>
      <c r="F62"/>
      <c r="K62" t="s">
        <v>26</v>
      </c>
    </row>
    <row r="63" spans="4:11" ht="12.75">
      <c r="D63" t="s">
        <v>1778</v>
      </c>
      <c r="E63" s="269">
        <f>IF(UndergradFreshmenFullTimeMale="",-1,UndergradFreshmenFullTimeMale)</f>
        <v>616</v>
      </c>
      <c r="F63" t="str">
        <f>"=IF("&amp;D63&amp;"="""",-1,"&amp;D63&amp;")"</f>
        <v>=IF(UndergradFreshmenFullTimeMale="",-1,UndergradFreshmenFullTimeMale)</v>
      </c>
      <c r="G63" s="307" t="s">
        <v>1778</v>
      </c>
      <c r="H63" t="s">
        <v>1305</v>
      </c>
      <c r="K63" t="str">
        <f aca="true" t="shared" si="2" ref="K63:K94">"&lt;"&amp;G63&amp;" Question="""&amp;H63&amp;"""&gt;"&amp;IF(J63=1,"&lt;![CDATA[","")&amp;E63&amp;IF(J63=1,"]]&gt;","")&amp;"&lt;/"&amp;G63&amp;"&gt;"</f>
        <v>&lt;UndergradFreshmenFullTimeMale Question="B1"&gt;616&lt;/UndergradFreshmenFullTimeMale&gt;</v>
      </c>
    </row>
    <row r="64" spans="4:11" ht="12.75">
      <c r="D64" t="s">
        <v>507</v>
      </c>
      <c r="E64" s="269">
        <f>IF(UndergradFreshmenFullTimeFemale="",-1,UndergradFreshmenFullTimeFemale)</f>
        <v>729</v>
      </c>
      <c r="F64"/>
      <c r="G64" s="307" t="s">
        <v>507</v>
      </c>
      <c r="H64" t="s">
        <v>1305</v>
      </c>
      <c r="K64" t="str">
        <f t="shared" si="2"/>
        <v>&lt;UndergradFreshmenFullTimeFemale Question="B1"&gt;729&lt;/UndergradFreshmenFullTimeFemale&gt;</v>
      </c>
    </row>
    <row r="65" spans="4:11" ht="12.75">
      <c r="D65" t="s">
        <v>508</v>
      </c>
      <c r="E65" s="269">
        <f>IF(UndergradFreshmenPartTimeMale="",-1,UndergradFreshmenPartTimeMale)</f>
        <v>1</v>
      </c>
      <c r="F65"/>
      <c r="G65" s="307" t="s">
        <v>508</v>
      </c>
      <c r="H65" t="s">
        <v>1305</v>
      </c>
      <c r="K65" t="str">
        <f t="shared" si="2"/>
        <v>&lt;UndergradFreshmenPartTimeMale Question="B1"&gt;1&lt;/UndergradFreshmenPartTimeMale&gt;</v>
      </c>
    </row>
    <row r="66" spans="4:11" ht="12.75">
      <c r="D66" t="s">
        <v>509</v>
      </c>
      <c r="E66" s="269">
        <f>IF(UndergradFreshmenPartTimeFemale="",-1,UndergradFreshmenPartTimeFemale)</f>
        <v>0</v>
      </c>
      <c r="F66"/>
      <c r="G66" s="307" t="s">
        <v>509</v>
      </c>
      <c r="H66" t="s">
        <v>1305</v>
      </c>
      <c r="K66" t="str">
        <f t="shared" si="2"/>
        <v>&lt;UndergradFreshmenPartTimeFemale Question="B1"&gt;0&lt;/UndergradFreshmenPartTimeFemale&gt;</v>
      </c>
    </row>
    <row r="67" spans="4:11" ht="12.75">
      <c r="D67" t="s">
        <v>510</v>
      </c>
      <c r="E67" s="269">
        <f>IF(UndergradTransferFullTimeMale="",-1,UndergradTransferFullTimeMale)</f>
        <v>24</v>
      </c>
      <c r="F67"/>
      <c r="G67" s="307" t="s">
        <v>510</v>
      </c>
      <c r="H67" t="s">
        <v>1305</v>
      </c>
      <c r="K67" t="str">
        <f t="shared" si="2"/>
        <v>&lt;UndergradTransferFullTimeMale Question="B1"&gt;24&lt;/UndergradTransferFullTimeMale&gt;</v>
      </c>
    </row>
    <row r="68" spans="4:11" ht="12.75">
      <c r="D68" t="s">
        <v>511</v>
      </c>
      <c r="E68" s="269">
        <f>IF(UndergradTransferFullTimeFemale="",-1,UndergradTransferFullTimeFemale)</f>
        <v>15</v>
      </c>
      <c r="F68"/>
      <c r="G68" s="307" t="s">
        <v>511</v>
      </c>
      <c r="H68" t="s">
        <v>1305</v>
      </c>
      <c r="K68" t="str">
        <f t="shared" si="2"/>
        <v>&lt;UndergradTransferFullTimeFemale Question="B1"&gt;15&lt;/UndergradTransferFullTimeFemale&gt;</v>
      </c>
    </row>
    <row r="69" spans="4:11" ht="12.75">
      <c r="D69" t="s">
        <v>512</v>
      </c>
      <c r="E69" s="269">
        <f>IF(UndergradTransferPartTimeMale="",-1,UndergradTransferPartTimeMale)</f>
        <v>0</v>
      </c>
      <c r="F69"/>
      <c r="G69" s="307" t="s">
        <v>512</v>
      </c>
      <c r="H69" t="s">
        <v>1305</v>
      </c>
      <c r="K69" t="str">
        <f t="shared" si="2"/>
        <v>&lt;UndergradTransferPartTimeMale Question="B1"&gt;0&lt;/UndergradTransferPartTimeMale&gt;</v>
      </c>
    </row>
    <row r="70" spans="4:11" ht="12.75">
      <c r="D70" t="s">
        <v>513</v>
      </c>
      <c r="E70" s="269">
        <f>IF(UndergradTransferPartTimeFemale="",-1,UndergradTransferPartTimeFemale)</f>
        <v>1</v>
      </c>
      <c r="F70"/>
      <c r="G70" s="307" t="s">
        <v>513</v>
      </c>
      <c r="H70" t="s">
        <v>1305</v>
      </c>
      <c r="K70" t="str">
        <f t="shared" si="2"/>
        <v>&lt;UndergradTransferPartTimeFemale Question="B1"&gt;1&lt;/UndergradTransferPartTimeFemale&gt;</v>
      </c>
    </row>
    <row r="71" spans="4:11" ht="12.75">
      <c r="D71" t="s">
        <v>514</v>
      </c>
      <c r="E71" s="269">
        <f>IF(UndergradOtherFullTimeMale="",-1,UndergradOtherFullTimeMale)</f>
        <v>1983</v>
      </c>
      <c r="F71"/>
      <c r="G71" s="307" t="s">
        <v>514</v>
      </c>
      <c r="H71" t="s">
        <v>1305</v>
      </c>
      <c r="K71" t="str">
        <f t="shared" si="2"/>
        <v>&lt;UndergradOtherFullTimeMale Question="B1"&gt;1983&lt;/UndergradOtherFullTimeMale&gt;</v>
      </c>
    </row>
    <row r="72" spans="4:11" ht="12.75">
      <c r="D72" t="s">
        <v>515</v>
      </c>
      <c r="E72" s="269">
        <f>IF(UndergradOtherFullTimeFemale="",-1,UndergradOtherFullTimeFemale)</f>
        <v>2305</v>
      </c>
      <c r="F72"/>
      <c r="G72" s="307" t="s">
        <v>515</v>
      </c>
      <c r="H72" t="s">
        <v>1305</v>
      </c>
      <c r="K72" t="str">
        <f t="shared" si="2"/>
        <v>&lt;UndergradOtherFullTimeFemale Question="B1"&gt;2305&lt;/UndergradOtherFullTimeFemale&gt;</v>
      </c>
    </row>
    <row r="73" spans="4:11" ht="12.75">
      <c r="D73" t="s">
        <v>516</v>
      </c>
      <c r="E73" s="269">
        <f>IF(UndergradOtherPartTimeMale="",-1,UndergradOtherPartTimeMale)</f>
        <v>16</v>
      </c>
      <c r="F73"/>
      <c r="G73" s="307" t="s">
        <v>516</v>
      </c>
      <c r="H73" t="s">
        <v>1305</v>
      </c>
      <c r="K73" t="str">
        <f t="shared" si="2"/>
        <v>&lt;UndergradOtherPartTimeMale Question="B1"&gt;16&lt;/UndergradOtherPartTimeMale&gt;</v>
      </c>
    </row>
    <row r="74" spans="4:11" ht="12.75">
      <c r="D74" t="s">
        <v>517</v>
      </c>
      <c r="E74" s="269">
        <f>IF(UndergradOtherPartTimeFemale="",-1,UndergradOtherPartTimeFemale)</f>
        <v>16</v>
      </c>
      <c r="F74"/>
      <c r="G74" s="307" t="s">
        <v>517</v>
      </c>
      <c r="H74" t="s">
        <v>1305</v>
      </c>
      <c r="K74" t="str">
        <f t="shared" si="2"/>
        <v>&lt;UndergradOtherPartTimeFemale Question="B1"&gt;16&lt;/UndergradOtherPartTimeFemale&gt;</v>
      </c>
    </row>
    <row r="75" spans="4:11" ht="12.75">
      <c r="D75" t="s">
        <v>518</v>
      </c>
      <c r="E75" s="269">
        <f>IF(UndergradDegreeSeekingTotalFullTimeMale="",-1,UndergradDegreeSeekingTotalFullTimeMale)</f>
        <v>2623</v>
      </c>
      <c r="F75"/>
      <c r="G75" s="307" t="s">
        <v>518</v>
      </c>
      <c r="H75" t="s">
        <v>1305</v>
      </c>
      <c r="K75" t="str">
        <f t="shared" si="2"/>
        <v>&lt;UndergradDegreeSeekingTotalFullTimeMale Question="B1"&gt;2623&lt;/UndergradDegreeSeekingTotalFullTimeMale&gt;</v>
      </c>
    </row>
    <row r="76" spans="4:11" ht="12.75">
      <c r="D76" t="s">
        <v>519</v>
      </c>
      <c r="E76" s="269">
        <f>IF(UndergradDegreeSeekingTotalFullTimeFemale="",-1,UndergradDegreeSeekingTotalFullTimeFemale)</f>
        <v>3049</v>
      </c>
      <c r="F76"/>
      <c r="G76" s="307" t="s">
        <v>519</v>
      </c>
      <c r="H76" t="s">
        <v>1305</v>
      </c>
      <c r="K76" t="str">
        <f t="shared" si="2"/>
        <v>&lt;UndergradDegreeSeekingTotalFullTimeFemale Question="B1"&gt;3049&lt;/UndergradDegreeSeekingTotalFullTimeFemale&gt;</v>
      </c>
    </row>
    <row r="77" spans="4:11" ht="12.75">
      <c r="D77" t="s">
        <v>520</v>
      </c>
      <c r="E77" s="269">
        <f>IF(UndergradDegreeSeekingTotalPartTimeMale="",-1,UndergradDegreeSeekingTotalPartTimeMale)</f>
        <v>17</v>
      </c>
      <c r="F77"/>
      <c r="G77" s="307" t="s">
        <v>520</v>
      </c>
      <c r="H77" t="s">
        <v>1305</v>
      </c>
      <c r="K77" t="str">
        <f t="shared" si="2"/>
        <v>&lt;UndergradDegreeSeekingTotalPartTimeMale Question="B1"&gt;17&lt;/UndergradDegreeSeekingTotalPartTimeMale&gt;</v>
      </c>
    </row>
    <row r="78" spans="4:11" ht="12.75">
      <c r="D78" t="s">
        <v>286</v>
      </c>
      <c r="E78" s="269">
        <f>IF(UndergradDegreeSeekingTotalPartTimeFemale="",-1,UndergradDegreeSeekingTotalPartTimeFemale)</f>
        <v>17</v>
      </c>
      <c r="F78"/>
      <c r="G78" s="307" t="s">
        <v>286</v>
      </c>
      <c r="H78" t="s">
        <v>1305</v>
      </c>
      <c r="K78" t="str">
        <f t="shared" si="2"/>
        <v>&lt;UndergradDegreeSeekingTotalPartTimeFemale Question="B1"&gt;17&lt;/UndergradDegreeSeekingTotalPartTimeFemale&gt;</v>
      </c>
    </row>
    <row r="79" spans="4:11" ht="12.75">
      <c r="D79" t="s">
        <v>287</v>
      </c>
      <c r="E79" s="269">
        <f>IF(UndergradOtherNoDegreeFullTimeMale="",-1,UndergradOtherNoDegreeFullTimeMale)</f>
        <v>10</v>
      </c>
      <c r="F79"/>
      <c r="G79" s="307" t="s">
        <v>287</v>
      </c>
      <c r="H79" t="s">
        <v>1305</v>
      </c>
      <c r="K79" t="str">
        <f t="shared" si="2"/>
        <v>&lt;UndergradOtherNoDegreeFullTimeMale Question="B1"&gt;10&lt;/UndergradOtherNoDegreeFullTimeMale&gt;</v>
      </c>
    </row>
    <row r="80" spans="4:11" ht="12.75">
      <c r="D80" t="s">
        <v>288</v>
      </c>
      <c r="E80" s="269">
        <f>IF(UndergradOtherNoDegreeFullTimeFemale="",-1,UndergradOtherNoDegreeFullTimeFemale)</f>
        <v>22</v>
      </c>
      <c r="F80"/>
      <c r="G80" s="307" t="s">
        <v>288</v>
      </c>
      <c r="H80" t="s">
        <v>1305</v>
      </c>
      <c r="K80" t="str">
        <f t="shared" si="2"/>
        <v>&lt;UndergradOtherNoDegreeFullTimeFemale Question="B1"&gt;22&lt;/UndergradOtherNoDegreeFullTimeFemale&gt;</v>
      </c>
    </row>
    <row r="81" spans="4:11" ht="12.75">
      <c r="D81" t="s">
        <v>289</v>
      </c>
      <c r="E81" s="269">
        <f>IF(UndergradOtherNoDegreePartTimeMale="",-1,UndergradOtherNoDegreePartTimeMale)</f>
        <v>24</v>
      </c>
      <c r="F81"/>
      <c r="G81" s="307" t="s">
        <v>289</v>
      </c>
      <c r="H81" t="s">
        <v>1305</v>
      </c>
      <c r="K81" t="str">
        <f t="shared" si="2"/>
        <v>&lt;UndergradOtherNoDegreePartTimeMale Question="B1"&gt;24&lt;/UndergradOtherNoDegreePartTimeMale&gt;</v>
      </c>
    </row>
    <row r="82" spans="4:11" ht="12.75">
      <c r="D82" t="s">
        <v>290</v>
      </c>
      <c r="E82" s="269">
        <f>IF(UndergradOtherNoDegreePartTimeFemale="",-1,UndergradOtherNoDegreePartTimeFemale)</f>
        <v>30</v>
      </c>
      <c r="F82"/>
      <c r="G82" s="307" t="s">
        <v>290</v>
      </c>
      <c r="H82" t="s">
        <v>1305</v>
      </c>
      <c r="K82" t="str">
        <f t="shared" si="2"/>
        <v>&lt;UndergradOtherNoDegreePartTimeFemale Question="B1"&gt;30&lt;/UndergradOtherNoDegreePartTimeFemale&gt;</v>
      </c>
    </row>
    <row r="83" spans="4:11" ht="12.75">
      <c r="D83" t="s">
        <v>291</v>
      </c>
      <c r="E83" s="269">
        <f>IF(UndergradTotalFullTimeMale="",-1,UndergradTotalFullTimeMale)</f>
        <v>2633</v>
      </c>
      <c r="F83"/>
      <c r="G83" s="307" t="s">
        <v>291</v>
      </c>
      <c r="H83" t="s">
        <v>1305</v>
      </c>
      <c r="K83" t="str">
        <f t="shared" si="2"/>
        <v>&lt;UndergradTotalFullTimeMale Question="B1"&gt;2633&lt;/UndergradTotalFullTimeMale&gt;</v>
      </c>
    </row>
    <row r="84" spans="4:11" ht="12.75">
      <c r="D84" t="s">
        <v>622</v>
      </c>
      <c r="E84" s="269">
        <f>IF(UndergradTotalFullTimeFemale="",-1,UndergradTotalFullTimeFemale)</f>
        <v>3071</v>
      </c>
      <c r="F84"/>
      <c r="G84" s="307" t="s">
        <v>622</v>
      </c>
      <c r="H84" t="s">
        <v>1305</v>
      </c>
      <c r="K84" t="str">
        <f t="shared" si="2"/>
        <v>&lt;UndergradTotalFullTimeFemale Question="B1"&gt;3071&lt;/UndergradTotalFullTimeFemale&gt;</v>
      </c>
    </row>
    <row r="85" spans="4:11" ht="12.75">
      <c r="D85" t="s">
        <v>623</v>
      </c>
      <c r="E85" s="269">
        <f>IF(UndergradTotalPartTimeMale="",-1,UndergradTotalPartTimeMale)</f>
        <v>41</v>
      </c>
      <c r="F85"/>
      <c r="G85" s="307" t="s">
        <v>623</v>
      </c>
      <c r="H85" t="s">
        <v>1305</v>
      </c>
      <c r="K85" t="str">
        <f t="shared" si="2"/>
        <v>&lt;UndergradTotalPartTimeMale Question="B1"&gt;41&lt;/UndergradTotalPartTimeMale&gt;</v>
      </c>
    </row>
    <row r="86" spans="4:11" ht="12.75">
      <c r="D86" t="s">
        <v>624</v>
      </c>
      <c r="E86" s="269">
        <f>IF(UndergradTotalPartTimeFemale="",-1,UndergradTotalPartTimeFemale)</f>
        <v>47</v>
      </c>
      <c r="F86"/>
      <c r="G86" s="307" t="s">
        <v>624</v>
      </c>
      <c r="H86" t="s">
        <v>1305</v>
      </c>
      <c r="K86" t="str">
        <f t="shared" si="2"/>
        <v>&lt;UndergradTotalPartTimeFemale Question="B1"&gt;47&lt;/UndergradTotalPartTimeFemale&gt;</v>
      </c>
    </row>
    <row r="87" spans="4:11" ht="12.75">
      <c r="D87" t="s">
        <v>625</v>
      </c>
      <c r="E87" s="269">
        <f>IF(FirstProfessionalFirstTimeFullTimeMale="",-1,FirstProfessionalFirstTimeFullTimeMale)</f>
        <v>102</v>
      </c>
      <c r="F87"/>
      <c r="G87" s="307" t="s">
        <v>625</v>
      </c>
      <c r="H87" t="s">
        <v>1305</v>
      </c>
      <c r="K87" t="str">
        <f t="shared" si="2"/>
        <v>&lt;FirstProfessionalFirstTimeFullTimeMale Question="B1"&gt;102&lt;/FirstProfessionalFirstTimeFullTimeMale&gt;</v>
      </c>
    </row>
    <row r="88" spans="4:11" ht="12.75">
      <c r="D88" t="s">
        <v>626</v>
      </c>
      <c r="E88" s="269">
        <f>IF(FirstProfessionalFirstTimeFullTimeFemale="",-1,FirstProfessionalFirstTimeFullTimeFemale)</f>
        <v>114</v>
      </c>
      <c r="F88"/>
      <c r="G88" s="307" t="s">
        <v>626</v>
      </c>
      <c r="H88" t="s">
        <v>1305</v>
      </c>
      <c r="K88" t="str">
        <f t="shared" si="2"/>
        <v>&lt;FirstProfessionalFirstTimeFullTimeFemale Question="B1"&gt;114&lt;/FirstProfessionalFirstTimeFullTimeFemale&gt;</v>
      </c>
    </row>
    <row r="89" spans="4:11" ht="12.75">
      <c r="D89" t="s">
        <v>627</v>
      </c>
      <c r="E89" s="269">
        <f>IF(FirstProfessionalFirstTimePartTimeMale="",-1,FirstProfessionalFirstTimePartTimeMale)</f>
        <v>0</v>
      </c>
      <c r="F89"/>
      <c r="G89" s="307" t="s">
        <v>627</v>
      </c>
      <c r="H89" t="s">
        <v>1305</v>
      </c>
      <c r="K89" t="str">
        <f t="shared" si="2"/>
        <v>&lt;FirstProfessionalFirstTimePartTimeMale Question="B1"&gt;0&lt;/FirstProfessionalFirstTimePartTimeMale&gt;</v>
      </c>
    </row>
    <row r="90" spans="4:11" ht="12.75">
      <c r="D90" t="s">
        <v>337</v>
      </c>
      <c r="E90" s="269">
        <f>IF(FirstProfessionalFirstTimePartTimeFemale="",-1,FirstProfessionalFirstTimePartTimeFemale)</f>
        <v>0</v>
      </c>
      <c r="F90"/>
      <c r="G90" s="307" t="s">
        <v>337</v>
      </c>
      <c r="H90" t="s">
        <v>1305</v>
      </c>
      <c r="K90" t="str">
        <f t="shared" si="2"/>
        <v>&lt;FirstProfessionalFirstTimePartTimeFemale Question="B1"&gt;0&lt;/FirstProfessionalFirstTimePartTimeFemale&gt;</v>
      </c>
    </row>
    <row r="91" spans="4:11" ht="12.75">
      <c r="D91" t="s">
        <v>338</v>
      </c>
      <c r="E91" s="269">
        <f>IF(FirstProfessionalOtherFullTimeMale="",-1,FirstProfessionalOtherFullTimeMale)</f>
        <v>221</v>
      </c>
      <c r="F91"/>
      <c r="G91" s="307" t="s">
        <v>338</v>
      </c>
      <c r="H91" t="s">
        <v>1305</v>
      </c>
      <c r="K91" t="str">
        <f t="shared" si="2"/>
        <v>&lt;FirstProfessionalOtherFullTimeMale Question="B1"&gt;221&lt;/FirstProfessionalOtherFullTimeMale&gt;</v>
      </c>
    </row>
    <row r="92" spans="4:11" ht="12.75">
      <c r="D92" t="s">
        <v>339</v>
      </c>
      <c r="E92" s="269">
        <f>IF(FirstProfessionalOtherFullTimeFemale="",-1,FirstProfessionalOtherFullTimeFemale)</f>
        <v>191</v>
      </c>
      <c r="F92"/>
      <c r="G92" s="307" t="s">
        <v>339</v>
      </c>
      <c r="H92" t="s">
        <v>1305</v>
      </c>
      <c r="K92" t="str">
        <f t="shared" si="2"/>
        <v>&lt;FirstProfessionalOtherFullTimeFemale Question="B1"&gt;191&lt;/FirstProfessionalOtherFullTimeFemale&gt;</v>
      </c>
    </row>
    <row r="93" spans="4:11" ht="12.75">
      <c r="D93" t="s">
        <v>340</v>
      </c>
      <c r="E93" s="269">
        <f>IF(FirstProfessionalOtherPartTimeMale="",-1,FirstProfessionalOtherPartTimeMale)</f>
        <v>1</v>
      </c>
      <c r="F93"/>
      <c r="G93" s="307" t="s">
        <v>340</v>
      </c>
      <c r="H93" t="s">
        <v>1305</v>
      </c>
      <c r="K93" t="str">
        <f t="shared" si="2"/>
        <v>&lt;FirstProfessionalOtherPartTimeMale Question="B1"&gt;1&lt;/FirstProfessionalOtherPartTimeMale&gt;</v>
      </c>
    </row>
    <row r="94" spans="4:11" ht="12.75">
      <c r="D94" t="s">
        <v>341</v>
      </c>
      <c r="E94" s="269">
        <f>IF(FirstProfessionalOtherPartTimeFemale="",-1,FirstProfessionalOtherPartTimeFemale)</f>
        <v>2</v>
      </c>
      <c r="F94"/>
      <c r="G94" s="307" t="s">
        <v>341</v>
      </c>
      <c r="H94" t="s">
        <v>1305</v>
      </c>
      <c r="K94" t="str">
        <f t="shared" si="2"/>
        <v>&lt;FirstProfessionalOtherPartTimeFemale Question="B1"&gt;2&lt;/FirstProfessionalOtherPartTimeFemale&gt;</v>
      </c>
    </row>
    <row r="95" spans="4:11" ht="12.75">
      <c r="D95" t="s">
        <v>1743</v>
      </c>
      <c r="E95" s="269">
        <f>IF(FirstProfessionalTotalFullTimeMale="",-1,FirstProfessionalTotalFullTimeMale)</f>
        <v>323</v>
      </c>
      <c r="F95"/>
      <c r="G95" s="307" t="s">
        <v>1743</v>
      </c>
      <c r="H95" t="s">
        <v>1305</v>
      </c>
      <c r="K95" t="str">
        <f aca="true" t="shared" si="3" ref="K95:K126">"&lt;"&amp;G95&amp;" Question="""&amp;H95&amp;"""&gt;"&amp;IF(J95=1,"&lt;![CDATA[","")&amp;E95&amp;IF(J95=1,"]]&gt;","")&amp;"&lt;/"&amp;G95&amp;"&gt;"</f>
        <v>&lt;FirstProfessionalTotalFullTimeMale Question="B1"&gt;323&lt;/FirstProfessionalTotalFullTimeMale&gt;</v>
      </c>
    </row>
    <row r="96" spans="4:11" ht="12.75">
      <c r="D96" t="s">
        <v>1744</v>
      </c>
      <c r="E96" s="269">
        <f>IF(FirstProfessionalTotalFullTimeFemale="",-1,FirstProfessionalTotalFullTimeFemale)</f>
        <v>305</v>
      </c>
      <c r="F96"/>
      <c r="G96" s="307" t="s">
        <v>1744</v>
      </c>
      <c r="H96" t="s">
        <v>1305</v>
      </c>
      <c r="K96" t="str">
        <f t="shared" si="3"/>
        <v>&lt;FirstProfessionalTotalFullTimeFemale Question="B1"&gt;305&lt;/FirstProfessionalTotalFullTimeFemale&gt;</v>
      </c>
    </row>
    <row r="97" spans="4:11" ht="12.75">
      <c r="D97" t="s">
        <v>1733</v>
      </c>
      <c r="E97" s="269">
        <f>IF(FirstProfessionalTotalPartTimeMale="",-1,FirstProfessionalTotalPartTimeMale)</f>
        <v>1</v>
      </c>
      <c r="F97"/>
      <c r="G97" s="307" t="s">
        <v>1733</v>
      </c>
      <c r="H97" t="s">
        <v>1305</v>
      </c>
      <c r="K97" t="str">
        <f t="shared" si="3"/>
        <v>&lt;FirstProfessionalTotalPartTimeMale Question="B1"&gt;1&lt;/FirstProfessionalTotalPartTimeMale&gt;</v>
      </c>
    </row>
    <row r="98" spans="4:11" ht="12.75">
      <c r="D98" t="s">
        <v>1734</v>
      </c>
      <c r="E98" s="269">
        <f>IF(FirstProfessionalTotalPartTimeFemale="",-1,FirstProfessionalTotalPartTimeFemale)</f>
        <v>2</v>
      </c>
      <c r="F98"/>
      <c r="G98" s="307" t="s">
        <v>1734</v>
      </c>
      <c r="H98" t="s">
        <v>1305</v>
      </c>
      <c r="K98" t="str">
        <f t="shared" si="3"/>
        <v>&lt;FirstProfessionalTotalPartTimeFemale Question="B1"&gt;2&lt;/FirstProfessionalTotalPartTimeFemale&gt;</v>
      </c>
    </row>
    <row r="99" spans="4:11" ht="12.75">
      <c r="D99" t="s">
        <v>1745</v>
      </c>
      <c r="E99" s="269">
        <f>IF(GradFirstTimeFullTimeMale="",-1,GradFirstTimeFullTimeMale)</f>
        <v>160</v>
      </c>
      <c r="F99"/>
      <c r="G99" s="307" t="s">
        <v>1745</v>
      </c>
      <c r="H99" t="s">
        <v>1305</v>
      </c>
      <c r="K99" t="str">
        <f t="shared" si="3"/>
        <v>&lt;GradFirstTimeFullTimeMale Question="B1"&gt;160&lt;/GradFirstTimeFullTimeMale&gt;</v>
      </c>
    </row>
    <row r="100" spans="4:11" ht="12.75">
      <c r="D100" t="s">
        <v>1746</v>
      </c>
      <c r="E100" s="269">
        <f>IF(GradFirstTimeFullTimeFemale="",-1,GradFirstTimeFullTimeFemale)</f>
        <v>207</v>
      </c>
      <c r="F100"/>
      <c r="G100" s="307" t="s">
        <v>1746</v>
      </c>
      <c r="H100" t="s">
        <v>1305</v>
      </c>
      <c r="K100" t="str">
        <f t="shared" si="3"/>
        <v>&lt;GradFirstTimeFullTimeFemale Question="B1"&gt;207&lt;/GradFirstTimeFullTimeFemale&gt;</v>
      </c>
    </row>
    <row r="101" spans="4:11" ht="12.75">
      <c r="D101" t="s">
        <v>1747</v>
      </c>
      <c r="E101" s="269">
        <f>IF(GradFirstTimePartTimeMale="",-1,GradFirstTimePartTimeMale)</f>
        <v>44</v>
      </c>
      <c r="F101"/>
      <c r="G101" s="307" t="s">
        <v>1747</v>
      </c>
      <c r="H101" t="s">
        <v>1305</v>
      </c>
      <c r="K101" t="str">
        <f t="shared" si="3"/>
        <v>&lt;GradFirstTimePartTimeMale Question="B1"&gt;44&lt;/GradFirstTimePartTimeMale&gt;</v>
      </c>
    </row>
    <row r="102" spans="4:11" ht="12.75">
      <c r="D102" t="s">
        <v>1748</v>
      </c>
      <c r="E102" s="269">
        <f>IF(GradFirstTimePartTimeFemale="",-1,GradFirstTimePartTimeFemale)</f>
        <v>37</v>
      </c>
      <c r="F102"/>
      <c r="G102" s="307" t="s">
        <v>1748</v>
      </c>
      <c r="H102" t="s">
        <v>1305</v>
      </c>
      <c r="K102" t="str">
        <f t="shared" si="3"/>
        <v>&lt;GradFirstTimePartTimeFemale Question="B1"&gt;37&lt;/GradFirstTimePartTimeFemale&gt;</v>
      </c>
    </row>
    <row r="103" spans="4:11" ht="12.75">
      <c r="D103" t="s">
        <v>1749</v>
      </c>
      <c r="E103" s="269">
        <f>IF(GradOtherFullTimeMale="",-1,GradOtherFullTimeMale)</f>
        <v>289</v>
      </c>
      <c r="F103"/>
      <c r="G103" s="307" t="s">
        <v>1749</v>
      </c>
      <c r="H103" t="s">
        <v>1305</v>
      </c>
      <c r="K103" t="str">
        <f t="shared" si="3"/>
        <v>&lt;GradOtherFullTimeMale Question="B1"&gt;289&lt;/GradOtherFullTimeMale&gt;</v>
      </c>
    </row>
    <row r="104" spans="4:11" ht="12.75">
      <c r="D104" t="s">
        <v>1750</v>
      </c>
      <c r="E104" s="269">
        <f>IF(GradOtherFullTimeFemale="",-1,GradOtherFullTimeFemale)</f>
        <v>257</v>
      </c>
      <c r="F104"/>
      <c r="G104" s="307" t="s">
        <v>1750</v>
      </c>
      <c r="H104" t="s">
        <v>1305</v>
      </c>
      <c r="K104" t="str">
        <f t="shared" si="3"/>
        <v>&lt;GradOtherFullTimeFemale Question="B1"&gt;257&lt;/GradOtherFullTimeFemale&gt;</v>
      </c>
    </row>
    <row r="105" spans="4:11" ht="12.75">
      <c r="D105" t="s">
        <v>1751</v>
      </c>
      <c r="E105" s="269">
        <f>IF(GradOtherPartTimeMale="",-1,GradOtherPartTimeMale)</f>
        <v>131</v>
      </c>
      <c r="F105"/>
      <c r="G105" s="307" t="s">
        <v>1751</v>
      </c>
      <c r="H105" t="s">
        <v>1305</v>
      </c>
      <c r="K105" t="str">
        <f t="shared" si="3"/>
        <v>&lt;GradOtherPartTimeMale Question="B1"&gt;131&lt;/GradOtherPartTimeMale&gt;</v>
      </c>
    </row>
    <row r="106" spans="4:11" ht="12.75">
      <c r="D106" t="s">
        <v>1752</v>
      </c>
      <c r="E106" s="269">
        <f>IF(GradOtherPartTimeFemale="",-1,GradOtherPartTimeFemale)</f>
        <v>174</v>
      </c>
      <c r="F106"/>
      <c r="G106" s="307" t="s">
        <v>1752</v>
      </c>
      <c r="H106" t="s">
        <v>1305</v>
      </c>
      <c r="K106" t="str">
        <f t="shared" si="3"/>
        <v>&lt;GradOtherPartTimeFemale Question="B1"&gt;174&lt;/GradOtherPartTimeFemale&gt;</v>
      </c>
    </row>
    <row r="107" spans="4:11" ht="12.75">
      <c r="D107" t="s">
        <v>1753</v>
      </c>
      <c r="E107" s="269">
        <f>IF(GradOtherNoDegreeFullTimeMale="",-1,GradOtherNoDegreeFullTimeMale)</f>
        <v>0</v>
      </c>
      <c r="F107"/>
      <c r="G107" s="307" t="s">
        <v>1753</v>
      </c>
      <c r="H107" t="s">
        <v>1305</v>
      </c>
      <c r="K107" t="str">
        <f t="shared" si="3"/>
        <v>&lt;GradOtherNoDegreeFullTimeMale Question="B1"&gt;0&lt;/GradOtherNoDegreeFullTimeMale&gt;</v>
      </c>
    </row>
    <row r="108" spans="4:11" ht="12.75">
      <c r="D108" t="s">
        <v>1754</v>
      </c>
      <c r="E108" s="269">
        <f>IF(GradOtherNoDegreeFullTimeFemale="",-1,GradOtherNoDegreeFullTimeFemale)</f>
        <v>0</v>
      </c>
      <c r="F108"/>
      <c r="G108" s="307" t="s">
        <v>1754</v>
      </c>
      <c r="H108" t="s">
        <v>1305</v>
      </c>
      <c r="K108" t="str">
        <f t="shared" si="3"/>
        <v>&lt;GradOtherNoDegreeFullTimeFemale Question="B1"&gt;0&lt;/GradOtherNoDegreeFullTimeFemale&gt;</v>
      </c>
    </row>
    <row r="109" spans="4:11" ht="12.75">
      <c r="D109" t="s">
        <v>1755</v>
      </c>
      <c r="E109" s="269">
        <f>IF(GradOtherNoDegreePartTimeMale="",-1,GradOtherNoDegreePartTimeMale)</f>
        <v>14</v>
      </c>
      <c r="F109"/>
      <c r="G109" s="307" t="s">
        <v>1755</v>
      </c>
      <c r="H109" t="s">
        <v>1305</v>
      </c>
      <c r="K109" t="str">
        <f t="shared" si="3"/>
        <v>&lt;GradOtherNoDegreePartTimeMale Question="B1"&gt;14&lt;/GradOtherNoDegreePartTimeMale&gt;</v>
      </c>
    </row>
    <row r="110" spans="4:11" ht="12.75">
      <c r="D110" t="s">
        <v>1756</v>
      </c>
      <c r="E110" s="269">
        <f>IF(GradOtherNoDegreePartTimeFemale="",-1,GradOtherNoDegreePartTimeFemale)</f>
        <v>59</v>
      </c>
      <c r="F110"/>
      <c r="G110" s="307" t="s">
        <v>1756</v>
      </c>
      <c r="H110" t="s">
        <v>1305</v>
      </c>
      <c r="K110" t="str">
        <f t="shared" si="3"/>
        <v>&lt;GradOtherNoDegreePartTimeFemale Question="B1"&gt;59&lt;/GradOtherNoDegreePartTimeFemale&gt;</v>
      </c>
    </row>
    <row r="111" spans="4:11" ht="12.75">
      <c r="D111" t="s">
        <v>1757</v>
      </c>
      <c r="E111" s="269">
        <f>IF(GradTotalFullTimeMale="",-1,GradTotalFullTimeMale)</f>
        <v>449</v>
      </c>
      <c r="F111"/>
      <c r="G111" s="307" t="s">
        <v>1757</v>
      </c>
      <c r="H111" t="s">
        <v>1305</v>
      </c>
      <c r="K111" t="str">
        <f t="shared" si="3"/>
        <v>&lt;GradTotalFullTimeMale Question="B1"&gt;449&lt;/GradTotalFullTimeMale&gt;</v>
      </c>
    </row>
    <row r="112" spans="4:11" ht="12.75">
      <c r="D112" t="s">
        <v>1758</v>
      </c>
      <c r="E112" s="269">
        <f>IF(GradTotalFullTimeFemale="",-1,GradTotalFullTimeFemale)</f>
        <v>464</v>
      </c>
      <c r="F112"/>
      <c r="G112" s="307" t="s">
        <v>1758</v>
      </c>
      <c r="H112" t="s">
        <v>1305</v>
      </c>
      <c r="K112" t="str">
        <f t="shared" si="3"/>
        <v>&lt;GradTotalFullTimeFemale Question="B1"&gt;464&lt;/GradTotalFullTimeFemale&gt;</v>
      </c>
    </row>
    <row r="113" spans="4:11" ht="12.75">
      <c r="D113" t="s">
        <v>1759</v>
      </c>
      <c r="E113" s="269">
        <f>IF(GradTotalPartTimeMale="",-1,GradTotalPartTimeMale)</f>
        <v>189</v>
      </c>
      <c r="F113"/>
      <c r="G113" s="307" t="s">
        <v>1759</v>
      </c>
      <c r="H113" t="s">
        <v>1305</v>
      </c>
      <c r="K113" t="str">
        <f t="shared" si="3"/>
        <v>&lt;GradTotalPartTimeMale Question="B1"&gt;189&lt;/GradTotalPartTimeMale&gt;</v>
      </c>
    </row>
    <row r="114" spans="4:11" ht="12.75">
      <c r="D114" t="s">
        <v>1760</v>
      </c>
      <c r="E114" s="269">
        <f>IF(GradTotalPartTimeFemale="",-1,GradTotalPartTimeFemale)</f>
        <v>270</v>
      </c>
      <c r="F114"/>
      <c r="G114" s="307" t="s">
        <v>1760</v>
      </c>
      <c r="H114" t="s">
        <v>1305</v>
      </c>
      <c r="K114" t="str">
        <f t="shared" si="3"/>
        <v>&lt;GradTotalPartTimeFemale Question="B1"&gt;270&lt;/GradTotalPartTimeFemale&gt;</v>
      </c>
    </row>
    <row r="115" spans="4:11" ht="12.75">
      <c r="D115" t="s">
        <v>1761</v>
      </c>
      <c r="E115" s="269">
        <f>IF(UndergradTotalStudents="",-1,UndergradTotalStudents)</f>
        <v>5792</v>
      </c>
      <c r="F115"/>
      <c r="G115" s="307" t="s">
        <v>1761</v>
      </c>
      <c r="H115" t="s">
        <v>1305</v>
      </c>
      <c r="K115" t="str">
        <f t="shared" si="3"/>
        <v>&lt;UndergradTotalStudents Question="B1"&gt;5792&lt;/UndergradTotalStudents&gt;</v>
      </c>
    </row>
    <row r="116" spans="4:11" ht="12.75">
      <c r="D116" t="s">
        <v>1762</v>
      </c>
      <c r="E116" s="269">
        <f>IF(GradTotalStudents="",-1,GradTotalStudents)</f>
        <v>2003</v>
      </c>
      <c r="F116"/>
      <c r="G116" s="307" t="s">
        <v>1762</v>
      </c>
      <c r="H116" t="s">
        <v>1305</v>
      </c>
      <c r="K116" t="str">
        <f t="shared" si="3"/>
        <v>&lt;GradTotalStudents Question="B1"&gt;2003&lt;/GradTotalStudents&gt;</v>
      </c>
    </row>
    <row r="117" spans="4:11" ht="12.75">
      <c r="D117" t="s">
        <v>1763</v>
      </c>
      <c r="E117" s="269">
        <f>IF(TotalStudents="",-1,TotalStudents)</f>
        <v>7795</v>
      </c>
      <c r="F117"/>
      <c r="G117" s="307" t="s">
        <v>1763</v>
      </c>
      <c r="H117" t="s">
        <v>1305</v>
      </c>
      <c r="K117" t="str">
        <f t="shared" si="3"/>
        <v>&lt;TotalStudents Question="B1"&gt;7795&lt;/TotalStudents&gt;</v>
      </c>
    </row>
    <row r="118" spans="4:11" ht="12.75">
      <c r="D118" t="s">
        <v>1766</v>
      </c>
      <c r="E118" s="269">
        <f>IF(FreshmenNonresidentAlien="",-1,FreshmenNonresidentAlien)</f>
        <v>41</v>
      </c>
      <c r="F118"/>
      <c r="G118" s="307" t="s">
        <v>1766</v>
      </c>
      <c r="H118" t="s">
        <v>1306</v>
      </c>
      <c r="K118" t="str">
        <f t="shared" si="3"/>
        <v>&lt;FreshmenNonresidentAlien Question="B2"&gt;41&lt;/FreshmenNonresidentAlien&gt;</v>
      </c>
    </row>
    <row r="119" spans="4:11" ht="12.75">
      <c r="D119" t="s">
        <v>1767</v>
      </c>
      <c r="E119" s="269">
        <f>IF(UndergradDegreeSeekingNonresidentAlien="",-1,UndergradDegreeSeekingNonresidentAlien)</f>
        <v>115</v>
      </c>
      <c r="F119"/>
      <c r="G119" s="307" t="s">
        <v>1767</v>
      </c>
      <c r="H119" t="s">
        <v>1306</v>
      </c>
      <c r="K119" t="str">
        <f t="shared" si="3"/>
        <v>&lt;UndergradDegreeSeekingNonresidentAlien Question="B2"&gt;115&lt;/UndergradDegreeSeekingNonresidentAlien&gt;</v>
      </c>
    </row>
    <row r="120" spans="4:11" ht="12.75">
      <c r="D120" t="s">
        <v>1768</v>
      </c>
      <c r="E120" s="269">
        <f>IF(UndergradTotalNonresidentAlien="",-1,UndergradTotalNonresidentAlien)</f>
        <v>137</v>
      </c>
      <c r="F120"/>
      <c r="G120" s="307" t="s">
        <v>1768</v>
      </c>
      <c r="H120" t="s">
        <v>1306</v>
      </c>
      <c r="K120" t="str">
        <f t="shared" si="3"/>
        <v>&lt;UndergradTotalNonresidentAlien Question="B2"&gt;137&lt;/UndergradTotalNonresidentAlien&gt;</v>
      </c>
    </row>
    <row r="121" spans="4:11" ht="12.75">
      <c r="D121" t="s">
        <v>1769</v>
      </c>
      <c r="E121" s="269">
        <f>IF(FreshmenBlack="",-1,FreshmenBlack)</f>
        <v>95</v>
      </c>
      <c r="F121"/>
      <c r="G121" s="307" t="s">
        <v>1769</v>
      </c>
      <c r="H121" t="s">
        <v>1306</v>
      </c>
      <c r="K121" t="str">
        <f t="shared" si="3"/>
        <v>&lt;FreshmenBlack Question="B2"&gt;95&lt;/FreshmenBlack&gt;</v>
      </c>
    </row>
    <row r="122" spans="4:11" ht="12.75">
      <c r="D122" t="s">
        <v>552</v>
      </c>
      <c r="E122" s="269">
        <f>IF(UndergradDegreeSeekingBlack="",-1,UndergradDegreeSeekingBlack)</f>
        <v>384</v>
      </c>
      <c r="F122"/>
      <c r="G122" s="307" t="s">
        <v>552</v>
      </c>
      <c r="H122" t="s">
        <v>1306</v>
      </c>
      <c r="K122" t="str">
        <f t="shared" si="3"/>
        <v>&lt;UndergradDegreeSeekingBlack Question="B2"&gt;384&lt;/UndergradDegreeSeekingBlack&gt;</v>
      </c>
    </row>
    <row r="123" spans="4:11" ht="12.75">
      <c r="D123" t="s">
        <v>1770</v>
      </c>
      <c r="E123" s="269">
        <f>IF(UndergradTotalBlack="",-1,UndergradTotalBlack)</f>
        <v>386</v>
      </c>
      <c r="F123"/>
      <c r="G123" s="307" t="s">
        <v>1770</v>
      </c>
      <c r="H123" t="s">
        <v>1306</v>
      </c>
      <c r="K123" t="str">
        <f t="shared" si="3"/>
        <v>&lt;UndergradTotalBlack Question="B2"&gt;386&lt;/UndergradTotalBlack&gt;</v>
      </c>
    </row>
    <row r="124" spans="4:11" ht="12.75">
      <c r="D124" t="s">
        <v>1771</v>
      </c>
      <c r="E124" s="269">
        <f>IF(FreshmenNativeAmerican="",-1,FreshmenNativeAmerican)</f>
        <v>14</v>
      </c>
      <c r="F124"/>
      <c r="G124" s="307" t="s">
        <v>1771</v>
      </c>
      <c r="H124" t="s">
        <v>1306</v>
      </c>
      <c r="K124" t="str">
        <f t="shared" si="3"/>
        <v>&lt;FreshmenNativeAmerican Question="B2"&gt;14&lt;/FreshmenNativeAmerican&gt;</v>
      </c>
    </row>
    <row r="125" spans="4:11" ht="12.75">
      <c r="D125" t="s">
        <v>553</v>
      </c>
      <c r="E125" s="269">
        <f>IF(UndergradDegreeSeekingNativeAmerican="",-1,UndergradDegreeSeekingNativeAmerican)</f>
        <v>42</v>
      </c>
      <c r="F125"/>
      <c r="G125" s="307" t="s">
        <v>553</v>
      </c>
      <c r="H125" t="s">
        <v>1306</v>
      </c>
      <c r="K125" t="str">
        <f t="shared" si="3"/>
        <v>&lt;UndergradDegreeSeekingNativeAmerican Question="B2"&gt;42&lt;/UndergradDegreeSeekingNativeAmerican&gt;</v>
      </c>
    </row>
    <row r="126" spans="4:11" ht="12.75">
      <c r="D126" t="s">
        <v>1772</v>
      </c>
      <c r="E126" s="269">
        <f>IF(UndergradTotalNativeAmerican="",-1,UndergradTotalNativeAmerican)</f>
        <v>42</v>
      </c>
      <c r="F126"/>
      <c r="G126" s="307" t="s">
        <v>1772</v>
      </c>
      <c r="H126" t="s">
        <v>1306</v>
      </c>
      <c r="K126" t="str">
        <f t="shared" si="3"/>
        <v>&lt;UndergradTotalNativeAmerican Question="B2"&gt;42&lt;/UndergradTotalNativeAmerican&gt;</v>
      </c>
    </row>
    <row r="127" spans="4:11" ht="12.75">
      <c r="D127" t="s">
        <v>1773</v>
      </c>
      <c r="E127" s="269">
        <f>IF(FreshmenAsian="",-1,FreshmenAsian)</f>
        <v>115</v>
      </c>
      <c r="F127"/>
      <c r="G127" s="307" t="s">
        <v>1773</v>
      </c>
      <c r="H127" t="s">
        <v>1306</v>
      </c>
      <c r="K127" t="str">
        <f aca="true" t="shared" si="4" ref="K127:K150">"&lt;"&amp;G127&amp;" Question="""&amp;H127&amp;"""&gt;"&amp;IF(J127=1,"&lt;![CDATA[","")&amp;E127&amp;IF(J127=1,"]]&gt;","")&amp;"&lt;/"&amp;G127&amp;"&gt;"</f>
        <v>&lt;FreshmenAsian Question="B2"&gt;115&lt;/FreshmenAsian&gt;</v>
      </c>
    </row>
    <row r="128" spans="4:11" ht="12.75">
      <c r="D128" t="s">
        <v>393</v>
      </c>
      <c r="E128" s="269">
        <f>IF(UndergradDegreeSeekingAsian="",-1,UndergradDegreeSeekingAsian)</f>
        <v>421</v>
      </c>
      <c r="F128"/>
      <c r="G128" s="307" t="s">
        <v>393</v>
      </c>
      <c r="H128" t="s">
        <v>1306</v>
      </c>
      <c r="K128" t="str">
        <f t="shared" si="4"/>
        <v>&lt;UndergradDegreeSeekingAsian Question="B2"&gt;421&lt;/UndergradDegreeSeekingAsian&gt;</v>
      </c>
    </row>
    <row r="129" spans="4:11" ht="12.75">
      <c r="D129" t="s">
        <v>1774</v>
      </c>
      <c r="E129" s="269">
        <f>IF(UndergradTotalAsian="",-1,UndergradTotalAsian)</f>
        <v>426</v>
      </c>
      <c r="F129"/>
      <c r="G129" s="307" t="s">
        <v>1774</v>
      </c>
      <c r="H129" t="s">
        <v>1306</v>
      </c>
      <c r="K129" t="str">
        <f t="shared" si="4"/>
        <v>&lt;UndergradTotalAsian Question="B2"&gt;426&lt;/UndergradTotalAsian&gt;</v>
      </c>
    </row>
    <row r="130" spans="4:11" ht="12.75">
      <c r="D130" t="s">
        <v>545</v>
      </c>
      <c r="E130" s="269">
        <f>IF(FreshmenHispanic="",-1,FreshmenHispanic)</f>
        <v>78</v>
      </c>
      <c r="F130"/>
      <c r="G130" s="307" t="s">
        <v>545</v>
      </c>
      <c r="H130" t="s">
        <v>1306</v>
      </c>
      <c r="K130" t="str">
        <f t="shared" si="4"/>
        <v>&lt;FreshmenHispanic Question="B2"&gt;78&lt;/FreshmenHispanic&gt;</v>
      </c>
    </row>
    <row r="131" spans="4:11" ht="12.75">
      <c r="D131" t="s">
        <v>394</v>
      </c>
      <c r="E131" s="269">
        <f>IF(UndergradDegreeSeekingHispanic="",-1,UndergradDegreeSeekingHispanic)</f>
        <v>322</v>
      </c>
      <c r="F131"/>
      <c r="G131" s="307" t="s">
        <v>394</v>
      </c>
      <c r="H131" t="s">
        <v>1306</v>
      </c>
      <c r="K131" t="str">
        <f t="shared" si="4"/>
        <v>&lt;UndergradDegreeSeekingHispanic Question="B2"&gt;322&lt;/UndergradDegreeSeekingHispanic&gt;</v>
      </c>
    </row>
    <row r="132" spans="4:11" ht="12.75">
      <c r="D132" t="s">
        <v>546</v>
      </c>
      <c r="E132" s="269">
        <f>IF(UndergradTotalHispanic="",-1,UndergradTotalHispanic)</f>
        <v>325</v>
      </c>
      <c r="F132"/>
      <c r="G132" s="307" t="s">
        <v>546</v>
      </c>
      <c r="H132" t="s">
        <v>1306</v>
      </c>
      <c r="K132" t="str">
        <f t="shared" si="4"/>
        <v>&lt;UndergradTotalHispanic Question="B2"&gt;325&lt;/UndergradTotalHispanic&gt;</v>
      </c>
    </row>
    <row r="133" spans="4:11" ht="12.75">
      <c r="D133" t="s">
        <v>547</v>
      </c>
      <c r="E133" s="269">
        <f>IF(FreshmenWhite="",-1,FreshmenWhite)</f>
        <v>728</v>
      </c>
      <c r="F133"/>
      <c r="G133" s="307" t="s">
        <v>547</v>
      </c>
      <c r="H133" t="s">
        <v>1306</v>
      </c>
      <c r="K133" t="str">
        <f t="shared" si="4"/>
        <v>&lt;FreshmenWhite Question="B2"&gt;728&lt;/FreshmenWhite&gt;</v>
      </c>
    </row>
    <row r="134" spans="4:11" ht="12.75">
      <c r="D134" t="s">
        <v>1822</v>
      </c>
      <c r="E134" s="269">
        <f>IF(UndergradDegreeSeekingWhite="",-1,UndergradDegreeSeekingWhite)</f>
        <v>3660</v>
      </c>
      <c r="F134"/>
      <c r="G134" s="307" t="s">
        <v>1822</v>
      </c>
      <c r="H134" t="s">
        <v>1306</v>
      </c>
      <c r="K134" t="str">
        <f t="shared" si="4"/>
        <v>&lt;UndergradDegreeSeekingWhite Question="B2"&gt;3660&lt;/UndergradDegreeSeekingWhite&gt;</v>
      </c>
    </row>
    <row r="135" spans="4:11" ht="12.75">
      <c r="D135" t="s">
        <v>548</v>
      </c>
      <c r="E135" s="269">
        <f>IF(UndergradTotalWhite="",-1,UndergradTotalWhite)</f>
        <v>3710</v>
      </c>
      <c r="F135"/>
      <c r="G135" s="307" t="s">
        <v>548</v>
      </c>
      <c r="H135" t="s">
        <v>1306</v>
      </c>
      <c r="K135" t="str">
        <f t="shared" si="4"/>
        <v>&lt;UndergradTotalWhite Question="B2"&gt;3710&lt;/UndergradTotalWhite&gt;</v>
      </c>
    </row>
    <row r="136" spans="4:11" ht="12.75">
      <c r="D136" t="s">
        <v>549</v>
      </c>
      <c r="E136" s="269">
        <f>IF(FreshmenRaceUnknown="",-1,FreshmenRaceUnknown)</f>
        <v>275</v>
      </c>
      <c r="F136"/>
      <c r="G136" s="307" t="s">
        <v>549</v>
      </c>
      <c r="H136" t="s">
        <v>1306</v>
      </c>
      <c r="K136" t="str">
        <f t="shared" si="4"/>
        <v>&lt;FreshmenRaceUnknown Question="B2"&gt;275&lt;/FreshmenRaceUnknown&gt;</v>
      </c>
    </row>
    <row r="137" spans="4:11" ht="12.75">
      <c r="D137" t="s">
        <v>1823</v>
      </c>
      <c r="E137" s="269">
        <f>IF(UndergradDegreeSeekingRaceUnknown="",-1,UndergradDegreeSeekingRaceUnknown)</f>
        <v>762</v>
      </c>
      <c r="F137"/>
      <c r="G137" s="307" t="s">
        <v>1823</v>
      </c>
      <c r="H137" t="s">
        <v>1306</v>
      </c>
      <c r="K137" t="str">
        <f t="shared" si="4"/>
        <v>&lt;UndergradDegreeSeekingRaceUnknown Question="B2"&gt;762&lt;/UndergradDegreeSeekingRaceUnknown&gt;</v>
      </c>
    </row>
    <row r="138" spans="4:11" ht="12.75">
      <c r="D138" t="s">
        <v>550</v>
      </c>
      <c r="E138" s="269">
        <f>IF(UndergradTotalRaceUnknown="",-1,UndergradTotalRaceUnknown)</f>
        <v>766</v>
      </c>
      <c r="F138"/>
      <c r="G138" s="307" t="s">
        <v>550</v>
      </c>
      <c r="H138" t="s">
        <v>1306</v>
      </c>
      <c r="K138" t="str">
        <f t="shared" si="4"/>
        <v>&lt;UndergradTotalRaceUnknown Question="B2"&gt;766&lt;/UndergradTotalRaceUnknown&gt;</v>
      </c>
    </row>
    <row r="139" spans="4:11" ht="12.75">
      <c r="D139" t="s">
        <v>1825</v>
      </c>
      <c r="E139" s="269">
        <f>IF(FreshmenTotal="",-1,FreshmenTotal)</f>
        <v>1346</v>
      </c>
      <c r="F139"/>
      <c r="G139" s="307" t="s">
        <v>1825</v>
      </c>
      <c r="H139" t="s">
        <v>1306</v>
      </c>
      <c r="K139" t="str">
        <f t="shared" si="4"/>
        <v>&lt;FreshmenTotal Question="B2"&gt;1346&lt;/FreshmenTotal&gt;</v>
      </c>
    </row>
    <row r="140" spans="4:11" ht="12.75">
      <c r="D140" t="s">
        <v>1824</v>
      </c>
      <c r="E140" s="269">
        <f>IF(UndergradTotalDegreeSeeking="",-1,UndergradTotalDegreeSeeking)</f>
        <v>5706</v>
      </c>
      <c r="F140"/>
      <c r="G140" s="307" t="s">
        <v>1824</v>
      </c>
      <c r="H140" t="s">
        <v>1306</v>
      </c>
      <c r="K140" t="str">
        <f t="shared" si="4"/>
        <v>&lt;UndergradTotalDegreeSeeking Question="B2"&gt;5706&lt;/UndergradTotalDegreeSeeking&gt;</v>
      </c>
    </row>
    <row r="141" spans="4:11" ht="12.75">
      <c r="D141" t="s">
        <v>551</v>
      </c>
      <c r="E141" s="269">
        <f>IF(UndergradTotalStudents2="",-1,UndergradTotalStudents2)</f>
        <v>5792</v>
      </c>
      <c r="F141"/>
      <c r="G141" s="307" t="s">
        <v>551</v>
      </c>
      <c r="H141" t="s">
        <v>1306</v>
      </c>
      <c r="K141" t="str">
        <f t="shared" si="4"/>
        <v>&lt;UndergradTotalStudents2 Question="B2"&gt;5792&lt;/UndergradTotalStudents2&gt;</v>
      </c>
    </row>
    <row r="142" spans="4:11" ht="12.75">
      <c r="D142" t="s">
        <v>1826</v>
      </c>
      <c r="E142" s="269">
        <f>IF(DegreesAwardedCertificateDiploma="",-1,DegreesAwardedCertificateDiploma)</f>
        <v>-1</v>
      </c>
      <c r="F142"/>
      <c r="G142" s="307" t="s">
        <v>1826</v>
      </c>
      <c r="H142" t="s">
        <v>1307</v>
      </c>
      <c r="K142" t="str">
        <f t="shared" si="4"/>
        <v>&lt;DegreesAwardedCertificateDiploma Question="B3"&gt;-1&lt;/DegreesAwardedCertificateDiploma&gt;</v>
      </c>
    </row>
    <row r="143" spans="4:11" ht="12.75">
      <c r="D143" t="s">
        <v>1827</v>
      </c>
      <c r="E143" s="269">
        <f>IF(DegreesAwardedAssociates="",-1,DegreesAwardedAssociates)</f>
        <v>-1</v>
      </c>
      <c r="F143"/>
      <c r="G143" s="307" t="s">
        <v>1827</v>
      </c>
      <c r="H143" t="s">
        <v>1307</v>
      </c>
      <c r="K143" t="str">
        <f t="shared" si="4"/>
        <v>&lt;DegreesAwardedAssociates Question="B3"&gt;-1&lt;/DegreesAwardedAssociates&gt;</v>
      </c>
    </row>
    <row r="144" spans="4:11" ht="12.75">
      <c r="D144" t="s">
        <v>1828</v>
      </c>
      <c r="E144" s="269">
        <f>IF(DegreesAwardedBachelors="",-1,DegreesAwardedBachelors)</f>
        <v>1376</v>
      </c>
      <c r="F144"/>
      <c r="G144" s="307" t="s">
        <v>1828</v>
      </c>
      <c r="H144" t="s">
        <v>1307</v>
      </c>
      <c r="K144" t="str">
        <f t="shared" si="4"/>
        <v>&lt;DegreesAwardedBachelors Question="B3"&gt;1376&lt;/DegreesAwardedBachelors&gt;</v>
      </c>
    </row>
    <row r="145" spans="4:11" ht="12.75">
      <c r="D145" t="s">
        <v>1829</v>
      </c>
      <c r="E145" s="269">
        <f>IF(DegreesAwardedPostBachelorsCertificates="",-1,DegreesAwardedPostBachelorsCertificates)</f>
        <v>-1</v>
      </c>
      <c r="F145"/>
      <c r="G145" s="307" t="s">
        <v>1829</v>
      </c>
      <c r="H145" t="s">
        <v>1307</v>
      </c>
      <c r="K145" t="str">
        <f t="shared" si="4"/>
        <v>&lt;DegreesAwardedPostBachelorsCertificates Question="B3"&gt;-1&lt;/DegreesAwardedPostBachelorsCertificates&gt;</v>
      </c>
    </row>
    <row r="146" spans="4:11" ht="12.75">
      <c r="D146" t="s">
        <v>1830</v>
      </c>
      <c r="E146" s="269">
        <f>IF(DegreesAwardedMasters="",-1,DegreesAwardedMasters)</f>
        <v>464</v>
      </c>
      <c r="F146"/>
      <c r="G146" s="307" t="s">
        <v>1830</v>
      </c>
      <c r="H146" t="s">
        <v>1307</v>
      </c>
      <c r="K146" t="str">
        <f t="shared" si="4"/>
        <v>&lt;DegreesAwardedMasters Question="B3"&gt;464&lt;/DegreesAwardedMasters&gt;</v>
      </c>
    </row>
    <row r="147" spans="4:11" ht="12.75">
      <c r="D147" t="s">
        <v>1831</v>
      </c>
      <c r="E147" s="269">
        <f>IF(DegreesAwardedPostMasters="",-1,DegreesAwardedPostMasters)</f>
        <v>12</v>
      </c>
      <c r="F147"/>
      <c r="G147" s="307" t="s">
        <v>1831</v>
      </c>
      <c r="H147" t="s">
        <v>1307</v>
      </c>
      <c r="K147" t="str">
        <f t="shared" si="4"/>
        <v>&lt;DegreesAwardedPostMasters Question="B3"&gt;12&lt;/DegreesAwardedPostMasters&gt;</v>
      </c>
    </row>
    <row r="148" spans="4:11" ht="12.75">
      <c r="D148" t="s">
        <v>1832</v>
      </c>
      <c r="E148" s="269">
        <f>IF(DegreesAwardedDoctoral="",-1,DegreesAwardedDoctoral)</f>
        <v>54</v>
      </c>
      <c r="F148"/>
      <c r="G148" s="307" t="s">
        <v>1832</v>
      </c>
      <c r="H148" t="s">
        <v>1307</v>
      </c>
      <c r="K148" t="str">
        <f t="shared" si="4"/>
        <v>&lt;DegreesAwardedDoctoral Question="B3"&gt;54&lt;/DegreesAwardedDoctoral&gt;</v>
      </c>
    </row>
    <row r="149" spans="4:11" ht="12.75">
      <c r="D149" t="s">
        <v>1833</v>
      </c>
      <c r="E149" s="269">
        <f>IF(DegreesAwardedFirstProfessionalDegrees="",-1,DegreesAwardedFirstProfessionalDegrees)</f>
        <v>198</v>
      </c>
      <c r="F149"/>
      <c r="G149" s="307" t="s">
        <v>1833</v>
      </c>
      <c r="H149" t="s">
        <v>1307</v>
      </c>
      <c r="K149" t="str">
        <f t="shared" si="4"/>
        <v>&lt;DegreesAwardedFirstProfessionalDegrees Question="B3"&gt;198&lt;/DegreesAwardedFirstProfessionalDegrees&gt;</v>
      </c>
    </row>
    <row r="150" spans="4:11" ht="12.75">
      <c r="D150" t="s">
        <v>1834</v>
      </c>
      <c r="E150" s="269">
        <f>IF(DegreesAwardedFirstProfessionalCertificates="",-1,DegreesAwardedFirstProfessionalCertificates)</f>
        <v>-1</v>
      </c>
      <c r="F150"/>
      <c r="G150" s="307" t="s">
        <v>1834</v>
      </c>
      <c r="H150" t="s">
        <v>1307</v>
      </c>
      <c r="K150" t="str">
        <f t="shared" si="4"/>
        <v>&lt;DegreesAwardedFirstProfessionalCertificates Question="B3"&gt;-1&lt;/DegreesAwardedFirstProfessionalCertificates&gt;</v>
      </c>
    </row>
    <row r="151" spans="4:11" ht="12.75">
      <c r="D151" t="s">
        <v>28</v>
      </c>
      <c r="E151" s="269" t="str">
        <f>CLEAN(IF(FourYearCohortInitial1&gt;0,BaseYear-6,IF(FourYearCohortInitial2&gt;0,BaseYear-7,-1)))</f>
        <v>2001</v>
      </c>
      <c r="F151"/>
      <c r="G151" s="307" t="s">
        <v>28</v>
      </c>
      <c r="K151" t="str">
        <f>"&lt;"&amp;G151&amp;"&gt;"&amp;IF(J151=1,"&lt;![CDATA[","")&amp;E151&amp;IF(J151=1,"]]&gt;","")&amp;"&lt;/"&amp;G151&amp;"&gt;"</f>
        <v>&lt;FourYearCohortYear&gt;2001&lt;/FourYearCohortYear&gt;</v>
      </c>
    </row>
    <row r="152" spans="4:11" ht="12.75">
      <c r="D152" t="s">
        <v>1835</v>
      </c>
      <c r="E152" s="269" t="str">
        <f>CLEAN(IF(FourYearCohortInitial1&gt;0,FourYearCohortInitial1,IF(FourYearCohortInitial2&gt;0,FourYearCohortInitial2,-1)))</f>
        <v>1359</v>
      </c>
      <c r="F152" t="str">
        <f>"=CLEAN(IF(FourYearCohortInitial1&gt;0,"&amp;D152&amp;"1,IF(FourYearCohortInitial2&gt;0,"&amp;D152&amp;"2,-1)))"</f>
        <v>=CLEAN(IF(FourYearCohortInitial1&gt;0,FourYearCohortInitial1,IF(FourYearCohortInitial2&gt;0,FourYearCohortInitial2,-1)))</v>
      </c>
      <c r="G152" s="307" t="s">
        <v>1835</v>
      </c>
      <c r="H152" t="s">
        <v>1308</v>
      </c>
      <c r="K152" t="str">
        <f aca="true" t="shared" si="5" ref="K152:K159">"&lt;"&amp;G152&amp;" Question="""&amp;H152&amp;"""&gt;"&amp;IF(J152=1,"&lt;![CDATA[","")&amp;E152&amp;IF(J152=1,"]]&gt;","")&amp;"&lt;/"&amp;G152&amp;"&gt;"</f>
        <v>&lt;FourYearCohortInitial Question="B4"&gt;1359&lt;/FourYearCohortInitial&gt;</v>
      </c>
    </row>
    <row r="153" spans="4:11" ht="12.75">
      <c r="D153" t="s">
        <v>1836</v>
      </c>
      <c r="E153" s="269" t="str">
        <f>CLEAN(IF(FourYearCohortInitial1&gt;0,FourYearCohortExclusions1,IF(FourYearCohortInitial2&gt;0,FourYearCohortExclusions2,-1)))</f>
        <v>1</v>
      </c>
      <c r="F153"/>
      <c r="G153" s="307" t="s">
        <v>1836</v>
      </c>
      <c r="H153" t="s">
        <v>1309</v>
      </c>
      <c r="K153" t="str">
        <f t="shared" si="5"/>
        <v>&lt;FourYearCohortExclusions Question="B5"&gt;1&lt;/FourYearCohortExclusions&gt;</v>
      </c>
    </row>
    <row r="154" spans="4:11" ht="12.75">
      <c r="D154" t="s">
        <v>1837</v>
      </c>
      <c r="E154" s="269" t="str">
        <f>CLEAN(IF(FourYearCohortInitial1&gt;0,FourYearCohortFinal1,IF(FourYearCohortInitial2&gt;0,FourYearCohortFinal2,-1)))</f>
        <v>1358</v>
      </c>
      <c r="F154"/>
      <c r="G154" s="307" t="s">
        <v>1837</v>
      </c>
      <c r="H154" t="s">
        <v>1310</v>
      </c>
      <c r="K154" t="str">
        <f t="shared" si="5"/>
        <v>&lt;FourYearCohortFinal Question="B6"&gt;1358&lt;/FourYearCohortFinal&gt;</v>
      </c>
    </row>
    <row r="155" spans="4:11" ht="12.75">
      <c r="D155" t="s">
        <v>1839</v>
      </c>
      <c r="E155" s="269" t="str">
        <f>CLEAN(IF(FourYearCohortInitial1&gt;0,FourYearCohortGraduatedIn4Years1,IF(FourYearCohortInitial2&gt;0,FourYearCohortGraduatedIn4Years2,-1)))</f>
        <v>1140</v>
      </c>
      <c r="F155"/>
      <c r="G155" s="307" t="s">
        <v>1839</v>
      </c>
      <c r="H155" t="s">
        <v>1311</v>
      </c>
      <c r="K155" t="str">
        <f t="shared" si="5"/>
        <v>&lt;FourYearCohortGraduatedIn4Years Question="B7"&gt;1140&lt;/FourYearCohortGraduatedIn4Years&gt;</v>
      </c>
    </row>
    <row r="156" spans="4:11" ht="12.75">
      <c r="D156" t="s">
        <v>1840</v>
      </c>
      <c r="E156" s="269" t="str">
        <f>CLEAN(IF(FourYearCohortInitial1&gt;0,FourYearCohortGraduatedIn4To5Years1,IF(FourYearCohortInitial2&gt;0,FourYearCohortGraduatedIn4To5Years2,-1)))</f>
        <v>92</v>
      </c>
      <c r="F156"/>
      <c r="G156" s="307" t="s">
        <v>1840</v>
      </c>
      <c r="H156" t="s">
        <v>1312</v>
      </c>
      <c r="K156" t="str">
        <f t="shared" si="5"/>
        <v>&lt;FourYearCohortGraduatedIn4To5Years Question="B8"&gt;92&lt;/FourYearCohortGraduatedIn4To5Years&gt;</v>
      </c>
    </row>
    <row r="157" spans="4:11" ht="12.75">
      <c r="D157" t="s">
        <v>1841</v>
      </c>
      <c r="E157" s="269" t="str">
        <f>CLEAN(IF(FourYearCohortInitial1&gt;0,FourYearCohortGraduatedIn5To6Years1,IF(FourYearCohortInitial2&gt;0,FourYearCohortGraduatedIn5To6Years2,-1)))</f>
        <v>11</v>
      </c>
      <c r="F157"/>
      <c r="G157" s="307" t="s">
        <v>1841</v>
      </c>
      <c r="H157" t="s">
        <v>1313</v>
      </c>
      <c r="K157" t="str">
        <f t="shared" si="5"/>
        <v>&lt;FourYearCohortGraduatedIn5To6Years Question="B9"&gt;11&lt;/FourYearCohortGraduatedIn5To6Years&gt;</v>
      </c>
    </row>
    <row r="158" spans="4:11" ht="12.75">
      <c r="D158" t="s">
        <v>1842</v>
      </c>
      <c r="E158" s="269">
        <f>VALUE(CLEAN(IF(FourYearCohortInitial1&gt;0,FourYearCohortGraduatedIn6YearsTotal1,FourYearCohortGraduatedIn6YearsTotal2)))</f>
        <v>1243</v>
      </c>
      <c r="F158"/>
      <c r="G158" s="307" t="s">
        <v>1842</v>
      </c>
      <c r="H158" t="s">
        <v>1314</v>
      </c>
      <c r="K158" t="str">
        <f t="shared" si="5"/>
        <v>&lt;FourYearCohortGraduatedIn6YearsTotal Question="B10"&gt;1243&lt;/FourYearCohortGraduatedIn6YearsTotal&gt;</v>
      </c>
    </row>
    <row r="159" spans="4:11" ht="12.75">
      <c r="D159" t="s">
        <v>1843</v>
      </c>
      <c r="E159" s="268">
        <f>IF(FourYearCohortInitial1&gt;0,ROUND(FourYearCohortGraduationRate1*100,2),IF(FourYearCohortInitial2&gt;0,ROUND(FourYearCohortGraduationRate2*100,2),"-1"))</f>
        <v>91.53</v>
      </c>
      <c r="F159"/>
      <c r="G159" s="308" t="s">
        <v>1843</v>
      </c>
      <c r="H159" t="s">
        <v>525</v>
      </c>
      <c r="K159" t="str">
        <f t="shared" si="5"/>
        <v>&lt;FourYearCohortGraduationRate Question="B11"&gt;91.53&lt;/FourYearCohortGraduationRate&gt;</v>
      </c>
    </row>
    <row r="160" spans="4:11" ht="12.75">
      <c r="D160" t="s">
        <v>952</v>
      </c>
      <c r="E160" s="269" t="str">
        <f>CLEAN(IF(TwoYearCohortInitial1&gt;0,BaseYear-3,IF(TwoYearCohortInitial2&gt;0,BaseYear-4,-1)))</f>
        <v>-1</v>
      </c>
      <c r="F160"/>
      <c r="G160" s="307" t="s">
        <v>952</v>
      </c>
      <c r="K160" t="str">
        <f>"&lt;"&amp;G160&amp;"&gt;"&amp;IF(J160=1,"&lt;![CDATA[","")&amp;E160&amp;IF(J160=1,"]]&gt;","")&amp;"&lt;/"&amp;G160&amp;"&gt;"</f>
        <v>&lt;TwoYearCohortYear&gt;-1&lt;/TwoYearCohortYear&gt;</v>
      </c>
    </row>
    <row r="161" spans="4:11" ht="12.75">
      <c r="D161" t="s">
        <v>1844</v>
      </c>
      <c r="E161" s="269" t="str">
        <f>CLEAN(IF(TwoYearCohortInitial1&gt;0,TwoYearCohortInitial1,IF(TwoYearCohortInitial2&gt;0,TwoYearCohortInitial2,-1)))</f>
        <v>-1</v>
      </c>
      <c r="F161" t="str">
        <f>"=CLEAN(IF(TwoYearCohortInitial1&gt;0,"&amp;D161&amp;"1,IF(TwoYearCohortInitial2&gt;0,"&amp;D161&amp;"2,-1)))"</f>
        <v>=CLEAN(IF(TwoYearCohortInitial1&gt;0,TwoYearCohortInitial1,IF(TwoYearCohortInitial2&gt;0,TwoYearCohortInitial2,-1)))</v>
      </c>
      <c r="G161" s="307" t="s">
        <v>1844</v>
      </c>
      <c r="H161" t="s">
        <v>1821</v>
      </c>
      <c r="K161" t="str">
        <f aca="true" t="shared" si="6" ref="K161:K171">"&lt;"&amp;G161&amp;" Question="""&amp;H161&amp;"""&gt;"&amp;IF(J161=1,"&lt;![CDATA[","")&amp;E161&amp;IF(J161=1,"]]&gt;","")&amp;"&lt;/"&amp;G161&amp;"&gt;"</f>
        <v>&lt;TwoYearCohortInitial Question="B12"&gt;-1&lt;/TwoYearCohortInitial&gt;</v>
      </c>
    </row>
    <row r="162" spans="4:11" ht="12.75">
      <c r="D162" t="s">
        <v>1845</v>
      </c>
      <c r="E162" s="269" t="str">
        <f>CLEAN(IF(TwoYearCohortInitial1&gt;0,TwoYearCohortExclusions1,IF(TwoYearCohortInitial2&gt;0,TwoYearCohortExclusions2,-1)))</f>
        <v>-1</v>
      </c>
      <c r="F162" t="str">
        <f aca="true" t="shared" si="7" ref="F162:F170">"=CLEAN(IF(TwoYearCohortInitial1&gt;0,"&amp;D162&amp;"1,IF(TwoYearCohortInitial2&gt;0,"&amp;D162&amp;"2,-1)))"</f>
        <v>=CLEAN(IF(TwoYearCohortInitial1&gt;0,TwoYearCohortExclusions1,IF(TwoYearCohortInitial2&gt;0,TwoYearCohortExclusions2,-1)))</v>
      </c>
      <c r="G162" s="307" t="s">
        <v>1845</v>
      </c>
      <c r="H162" t="s">
        <v>1242</v>
      </c>
      <c r="K162" t="str">
        <f t="shared" si="6"/>
        <v>&lt;TwoYearCohortExclusions Question="B13"&gt;-1&lt;/TwoYearCohortExclusions&gt;</v>
      </c>
    </row>
    <row r="163" spans="4:11" ht="12.75">
      <c r="D163" t="s">
        <v>1846</v>
      </c>
      <c r="E163" s="269" t="str">
        <f>CLEAN(IF(TwoYearCohortInitial1&gt;0,TwoYearCohortFinal1,IF(TwoYearCohortInitial2&gt;0,TwoYearCohortFinal2,-1)))</f>
        <v>-1</v>
      </c>
      <c r="F163" t="str">
        <f t="shared" si="7"/>
        <v>=CLEAN(IF(TwoYearCohortInitial1&gt;0,TwoYearCohortFinal1,IF(TwoYearCohortInitial2&gt;0,TwoYearCohortFinal2,-1)))</v>
      </c>
      <c r="G163" s="307" t="s">
        <v>1846</v>
      </c>
      <c r="H163" t="s">
        <v>1243</v>
      </c>
      <c r="K163" t="str">
        <f t="shared" si="6"/>
        <v>&lt;TwoYearCohortFinal Question="B14"&gt;-1&lt;/TwoYearCohortFinal&gt;</v>
      </c>
    </row>
    <row r="164" spans="4:11" ht="12.75">
      <c r="D164" t="s">
        <v>1624</v>
      </c>
      <c r="E164" s="269" t="str">
        <f>CLEAN(IF(TwoYearCohortInitial1&gt;0,TwoYearCohortGraduatedUnder2Years1,IF(TwoYearCohortInitial2&gt;0,TwoYearCohortGraduatedUnder2Years2,-1)))</f>
        <v>-1</v>
      </c>
      <c r="F164" t="str">
        <f t="shared" si="7"/>
        <v>=CLEAN(IF(TwoYearCohortInitial1&gt;0,TwoYearCohortGraduatedUnder2Years1,IF(TwoYearCohortInitial2&gt;0,TwoYearCohortGraduatedUnder2Years2,-1)))</v>
      </c>
      <c r="G164" s="307" t="s">
        <v>1624</v>
      </c>
      <c r="H164" t="s">
        <v>1244</v>
      </c>
      <c r="K164" t="str">
        <f t="shared" si="6"/>
        <v>&lt;TwoYearCohortGraduatedUnder2Years Question="B15"&gt;-1&lt;/TwoYearCohortGraduatedUnder2Years&gt;</v>
      </c>
    </row>
    <row r="165" spans="4:11" ht="12.75">
      <c r="D165" t="s">
        <v>1625</v>
      </c>
      <c r="E165" s="268" t="str">
        <f>CLEAN(IF(TwoYearCohortInitial1&gt;0,TwoYearCohortGraduatedUnder2Years150PercentTime1*100,IF(TwoYearCohortInitial2&gt;0,TwoYearCohortGraduatedUnder2Years150PercentTime2*100,-1)))</f>
        <v>-1</v>
      </c>
      <c r="F165" t="str">
        <f>"=CLEAN(IF(TwoYearCohortInitial1&gt;0,"&amp;D165&amp;"1*100,IF(TwoYearCohortInitial2&gt;0,"&amp;D165&amp;"2*100,-1)))"</f>
        <v>=CLEAN(IF(TwoYearCohortInitial1&gt;0,TwoYearCohortGraduatedUnder2Years150PercentTime1*100,IF(TwoYearCohortInitial2&gt;0,TwoYearCohortGraduatedUnder2Years150PercentTime2*100,-1)))</v>
      </c>
      <c r="G165" s="307" t="s">
        <v>1625</v>
      </c>
      <c r="H165" t="s">
        <v>1245</v>
      </c>
      <c r="K165" t="str">
        <f t="shared" si="6"/>
        <v>&lt;TwoYearCohortGraduatedUnder2Years150PercentTime Question="B16"&gt;-1&lt;/TwoYearCohortGraduatedUnder2Years150PercentTime&gt;</v>
      </c>
    </row>
    <row r="166" spans="4:11" ht="12.75">
      <c r="D166" t="s">
        <v>1626</v>
      </c>
      <c r="E166" s="269" t="str">
        <f>CLEAN(IF(TwoYearCohortInitial1&gt;0,TwoYearCohortGraduated2To4Years1,IF(TwoYearCohortInitial2&gt;0,TwoYearCohortGraduated2To4Years2,-1)))</f>
        <v>-1</v>
      </c>
      <c r="F166" t="str">
        <f t="shared" si="7"/>
        <v>=CLEAN(IF(TwoYearCohortInitial1&gt;0,TwoYearCohortGraduated2To4Years1,IF(TwoYearCohortInitial2&gt;0,TwoYearCohortGraduated2To4Years2,-1)))</v>
      </c>
      <c r="G166" s="307" t="s">
        <v>1626</v>
      </c>
      <c r="H166" t="s">
        <v>1246</v>
      </c>
      <c r="K166" t="str">
        <f t="shared" si="6"/>
        <v>&lt;TwoYearCohortGraduated2To4Years Question="B17"&gt;-1&lt;/TwoYearCohortGraduated2To4Years&gt;</v>
      </c>
    </row>
    <row r="167" spans="4:11" ht="12.75">
      <c r="D167" t="s">
        <v>1627</v>
      </c>
      <c r="E167" s="268" t="str">
        <f>CLEAN(IF(TwoYearCohortInitial1&gt;0,TwoYearCohortGraduated2To4Years150PercentTime1*100,IF(TwoYearCohortInitial2&gt;0,TwoYearCohortGraduated2To4Years150PercentTime2*100,-1)))</f>
        <v>-1</v>
      </c>
      <c r="F167" t="str">
        <f>"=CLEAN(IF(TwoYearCohortInitial1&gt;0,"&amp;D167&amp;"1*100,IF(TwoYearCohortInitial2&gt;0,"&amp;D167&amp;"2*100,-1)))"</f>
        <v>=CLEAN(IF(TwoYearCohortInitial1&gt;0,TwoYearCohortGraduated2To4Years150PercentTime1*100,IF(TwoYearCohortInitial2&gt;0,TwoYearCohortGraduated2To4Years150PercentTime2*100,-1)))</v>
      </c>
      <c r="G167" s="307" t="s">
        <v>1627</v>
      </c>
      <c r="H167" t="s">
        <v>1247</v>
      </c>
      <c r="K167" t="str">
        <f t="shared" si="6"/>
        <v>&lt;TwoYearCohortGraduated2To4Years150PercentTime Question="B18"&gt;-1&lt;/TwoYearCohortGraduated2To4Years150PercentTime&gt;</v>
      </c>
    </row>
    <row r="168" spans="4:11" ht="12.75">
      <c r="D168" t="s">
        <v>1628</v>
      </c>
      <c r="E168" s="269" t="str">
        <f>CLEAN(IF(TwoYearCohortInitial1&gt;0,TwoYearCohortTransfersToOtherInstitutions1*100,IF(TwoYearCohortInitial2&gt;0,TwoYearCohortTransfersToOtherInstitutions2*100,-1)))</f>
        <v>-1</v>
      </c>
      <c r="F168" t="str">
        <f t="shared" si="7"/>
        <v>=CLEAN(IF(TwoYearCohortInitial1&gt;0,TwoYearCohortTransfersToOtherInstitutions1,IF(TwoYearCohortInitial2&gt;0,TwoYearCohortTransfersToOtherInstitutions2,-1)))</v>
      </c>
      <c r="G168" s="307" t="s">
        <v>1628</v>
      </c>
      <c r="H168" t="s">
        <v>1248</v>
      </c>
      <c r="K168" t="str">
        <f t="shared" si="6"/>
        <v>&lt;TwoYearCohortTransfersToOtherInstitutions Question="B19"&gt;-1&lt;/TwoYearCohortTransfersToOtherInstitutions&gt;</v>
      </c>
    </row>
    <row r="169" spans="4:11" ht="12.75">
      <c r="D169" t="s">
        <v>1572</v>
      </c>
      <c r="E169" s="269" t="str">
        <f>CLEAN(IF(TwoYearCohortInitial1&gt;0,TwoYearCohortTransfers2YearInstitutions1*100,IF(TwoYearCohortInitial2&gt;0,TwoYearCohortTransfers2YearInstitutions2*100,-1)))</f>
        <v>-1</v>
      </c>
      <c r="F169" t="str">
        <f t="shared" si="7"/>
        <v>=CLEAN(IF(TwoYearCohortInitial1&gt;0,TwoYearCohortTransfers2YearInstitutions1,IF(TwoYearCohortInitial2&gt;0,TwoYearCohortTransfers2YearInstitutions2,-1)))</v>
      </c>
      <c r="G169" s="307" t="s">
        <v>1572</v>
      </c>
      <c r="H169" t="s">
        <v>1249</v>
      </c>
      <c r="K169" t="str">
        <f t="shared" si="6"/>
        <v>&lt;TwoYearCohortTransfers2YearInstitutions Question="B20"&gt;-1&lt;/TwoYearCohortTransfers2YearInstitutions&gt;</v>
      </c>
    </row>
    <row r="170" spans="4:11" ht="12.75">
      <c r="D170" t="s">
        <v>1573</v>
      </c>
      <c r="E170" s="269" t="str">
        <f>CLEAN(IF(TwoYearCohortInitial1&gt;0,TwoYearCohortTransfers4YearInstitutions1*100,IF(TwoYearCohortInitial2&gt;0,TwoYearCohortTransfers4YearInstitutions2*100,-1)))</f>
        <v>-1</v>
      </c>
      <c r="F170" t="str">
        <f t="shared" si="7"/>
        <v>=CLEAN(IF(TwoYearCohortInitial1&gt;0,TwoYearCohortTransfers4YearInstitutions1,IF(TwoYearCohortInitial2&gt;0,TwoYearCohortTransfers4YearInstitutions2,-1)))</v>
      </c>
      <c r="G170" s="307" t="s">
        <v>1573</v>
      </c>
      <c r="H170" t="s">
        <v>1250</v>
      </c>
      <c r="K170" t="str">
        <f t="shared" si="6"/>
        <v>&lt;TwoYearCohortTransfers4YearInstitutions Question="B21"&gt;-1&lt;/TwoYearCohortTransfers4YearInstitutions&gt;</v>
      </c>
    </row>
    <row r="171" spans="4:11" ht="12.75">
      <c r="D171" t="s">
        <v>292</v>
      </c>
      <c r="E171" s="268">
        <f>IF(FreshmanRetention="","-1",FreshmanRetention*100)</f>
        <v>95</v>
      </c>
      <c r="F171"/>
      <c r="G171" s="308" t="s">
        <v>292</v>
      </c>
      <c r="H171" t="s">
        <v>1258</v>
      </c>
      <c r="K171" t="str">
        <f t="shared" si="6"/>
        <v>&lt;FreshmanRetention Question="B22"&gt;95&lt;/FreshmanRetention&gt;</v>
      </c>
    </row>
    <row r="172" spans="5:11" ht="12.75">
      <c r="E172" s="255"/>
      <c r="F172"/>
      <c r="G172" s="308"/>
      <c r="K172" t="s">
        <v>27</v>
      </c>
    </row>
    <row r="173" spans="2:11" ht="12.75">
      <c r="B173" t="s">
        <v>293</v>
      </c>
      <c r="F173"/>
      <c r="K173" t="s">
        <v>565</v>
      </c>
    </row>
    <row r="174" spans="4:11" ht="12.75">
      <c r="D174" t="s">
        <v>294</v>
      </c>
      <c r="E174" s="269">
        <f>IF(FreshmanAppliedMale&lt;&gt;"",FreshmanAppliedMale,-1)</f>
        <v>3930</v>
      </c>
      <c r="F174" t="str">
        <f>"=IF("&amp;D174&amp;"&lt;&gt;"""","&amp;D174&amp;",-1)"</f>
        <v>=IF(FreshmanAppliedMale&lt;&gt;"",FreshmanAppliedMale,-1)</v>
      </c>
      <c r="G174" s="308" t="s">
        <v>294</v>
      </c>
      <c r="H174" t="s">
        <v>569</v>
      </c>
      <c r="K174" t="str">
        <f aca="true" t="shared" si="8" ref="K174:K240">"&lt;"&amp;G174&amp;" Question="""&amp;H174&amp;"""&gt;"&amp;IF(J174=1,"&lt;![CDATA[","")&amp;E174&amp;IF(J174=1,"]]&gt;","")&amp;"&lt;/"&amp;G174&amp;"&gt;"</f>
        <v>&lt;FreshmanAppliedMale Question="C1"&gt;3930&lt;/FreshmanAppliedMale&gt;</v>
      </c>
    </row>
    <row r="175" spans="4:11" ht="12.75">
      <c r="D175" t="s">
        <v>295</v>
      </c>
      <c r="E175" s="269">
        <f>IF(FreshmanAppliedFemale&lt;&gt;"",FreshmanAppliedFemale,-1)</f>
        <v>6923</v>
      </c>
      <c r="F175"/>
      <c r="G175" s="307" t="s">
        <v>295</v>
      </c>
      <c r="H175" t="s">
        <v>569</v>
      </c>
      <c r="K175" t="str">
        <f t="shared" si="8"/>
        <v>&lt;FreshmanAppliedFemale Question="C1"&gt;6923&lt;/FreshmanAppliedFemale&gt;</v>
      </c>
    </row>
    <row r="176" spans="4:11" ht="12.75">
      <c r="D176" t="s">
        <v>296</v>
      </c>
      <c r="E176" s="269">
        <f>IF(FreshmanAdmittedMale&lt;&gt;"",FreshmanAdmittedMale,-1)</f>
        <v>1713</v>
      </c>
      <c r="F176"/>
      <c r="G176" s="307" t="s">
        <v>296</v>
      </c>
      <c r="H176" t="s">
        <v>569</v>
      </c>
      <c r="K176" t="str">
        <f t="shared" si="8"/>
        <v>&lt;FreshmanAdmittedMale Question="C1"&gt;1713&lt;/FreshmanAdmittedMale&gt;</v>
      </c>
    </row>
    <row r="177" spans="4:11" ht="12.75">
      <c r="D177" t="s">
        <v>297</v>
      </c>
      <c r="E177" s="269">
        <f>IF(FreshmanAdmittedFemale&lt;&gt;"",FreshmanAdmittedFemale,-1)</f>
        <v>1942</v>
      </c>
      <c r="F177"/>
      <c r="G177" s="307" t="s">
        <v>297</v>
      </c>
      <c r="H177" t="s">
        <v>569</v>
      </c>
      <c r="K177" t="str">
        <f t="shared" si="8"/>
        <v>&lt;FreshmanAdmittedFemale Question="C1"&gt;1942&lt;/FreshmanAdmittedFemale&gt;</v>
      </c>
    </row>
    <row r="178" spans="4:11" ht="12.75">
      <c r="D178" t="s">
        <v>298</v>
      </c>
      <c r="E178" s="269">
        <f>IF(FreshmanEnrolledFullTimeMale&lt;&gt;"",FreshmanEnrolledFullTimeMale,-1)</f>
        <v>616</v>
      </c>
      <c r="F178"/>
      <c r="G178" s="307" t="s">
        <v>298</v>
      </c>
      <c r="H178" t="s">
        <v>569</v>
      </c>
      <c r="K178" t="str">
        <f t="shared" si="8"/>
        <v>&lt;FreshmanEnrolledFullTimeMale Question="C1"&gt;616&lt;/FreshmanEnrolledFullTimeMale&gt;</v>
      </c>
    </row>
    <row r="179" spans="4:11" ht="12.75">
      <c r="D179" t="s">
        <v>962</v>
      </c>
      <c r="E179" s="269">
        <f>IF(FreshmanEnrolledPartTimeMale&lt;&gt;"",FreshmanEnrolledPartTimeMale,-1)</f>
        <v>1</v>
      </c>
      <c r="F179"/>
      <c r="G179" s="307" t="s">
        <v>962</v>
      </c>
      <c r="H179" t="s">
        <v>569</v>
      </c>
      <c r="K179" t="str">
        <f t="shared" si="8"/>
        <v>&lt;FreshmanEnrolledPartTimeMale Question="C1"&gt;1&lt;/FreshmanEnrolledPartTimeMale&gt;</v>
      </c>
    </row>
    <row r="180" spans="4:11" ht="12.75">
      <c r="D180" t="s">
        <v>299</v>
      </c>
      <c r="E180" s="269">
        <f>IF(FreshmanEnrolledFullTimeFemale&lt;&gt;"",FreshmanEnrolledFullTimeFemale,-1)</f>
        <v>729</v>
      </c>
      <c r="F180"/>
      <c r="G180" s="307" t="s">
        <v>299</v>
      </c>
      <c r="H180" t="s">
        <v>569</v>
      </c>
      <c r="K180" t="str">
        <f t="shared" si="8"/>
        <v>&lt;FreshmanEnrolledFullTimeFemale Question="C1"&gt;729&lt;/FreshmanEnrolledFullTimeFemale&gt;</v>
      </c>
    </row>
    <row r="181" spans="4:11" ht="12.75">
      <c r="D181" t="s">
        <v>963</v>
      </c>
      <c r="E181" s="269">
        <f>IF(FreshmanEnrolledPartTimeFemale&lt;&gt;"",FreshmanEnrolledPartTimeFemale,-1)</f>
        <v>0</v>
      </c>
      <c r="F181"/>
      <c r="G181" s="307" t="s">
        <v>963</v>
      </c>
      <c r="H181" t="s">
        <v>569</v>
      </c>
      <c r="K181" t="str">
        <f t="shared" si="8"/>
        <v>&lt;FreshmanEnrolledPartTimeFemale Question="C1"&gt;0&lt;/FreshmanEnrolledPartTimeFemale&gt;</v>
      </c>
    </row>
    <row r="182" spans="4:11" ht="12.75">
      <c r="D182" t="s">
        <v>964</v>
      </c>
      <c r="E182" s="254" t="str">
        <f>CLEAN(IF(WaitListPolicy1&lt;&gt;"",1,IF(WaitListPolicy2&lt;&gt;"",0,-1)))</f>
        <v>1</v>
      </c>
      <c r="F182"/>
      <c r="G182" s="307" t="s">
        <v>964</v>
      </c>
      <c r="H182" t="s">
        <v>570</v>
      </c>
      <c r="K182" t="str">
        <f t="shared" si="8"/>
        <v>&lt;WaitListPolicy Question="C2"&gt;1&lt;/WaitListPolicy&gt;</v>
      </c>
    </row>
    <row r="183" spans="4:11" ht="12.75">
      <c r="D183" t="s">
        <v>965</v>
      </c>
      <c r="E183" s="269">
        <f>IF(WaitListQualifiedApplicants&lt;&gt;"",WaitListQualifiedApplicants,-1)</f>
        <v>2402</v>
      </c>
      <c r="F183" t="str">
        <f>"=IF("&amp;D183&amp;"&lt;&gt;"""","&amp;D183&amp;",-1)"</f>
        <v>=IF(WaitListQualifiedApplicants&lt;&gt;"",WaitListQualifiedApplicants,-1)</v>
      </c>
      <c r="G183" s="307" t="s">
        <v>965</v>
      </c>
      <c r="H183" t="s">
        <v>570</v>
      </c>
      <c r="K183" t="str">
        <f t="shared" si="8"/>
        <v>&lt;WaitListQualifiedApplicants Question="C2"&gt;2402&lt;/WaitListQualifiedApplicants&gt;</v>
      </c>
    </row>
    <row r="184" spans="4:11" ht="12.75">
      <c r="D184" t="s">
        <v>966</v>
      </c>
      <c r="E184" s="269">
        <f>IF(WaitListPlacesAccepted&lt;&gt;"",WaitListPlacesAccepted,-1)</f>
        <v>1101</v>
      </c>
      <c r="F184"/>
      <c r="G184" s="307" t="s">
        <v>966</v>
      </c>
      <c r="H184" t="s">
        <v>570</v>
      </c>
      <c r="K184" t="str">
        <f t="shared" si="8"/>
        <v>&lt;WaitListPlacesAccepted Question="C2"&gt;1101&lt;/WaitListPlacesAccepted&gt;</v>
      </c>
    </row>
    <row r="185" spans="4:11" ht="12.75">
      <c r="D185" t="s">
        <v>967</v>
      </c>
      <c r="E185" s="269">
        <f>IF(WaitListAdmitted&lt;&gt;"",WaitListAdmitted,-1)</f>
        <v>62</v>
      </c>
      <c r="F185"/>
      <c r="G185" s="307" t="s">
        <v>967</v>
      </c>
      <c r="H185" t="s">
        <v>570</v>
      </c>
      <c r="K185" t="str">
        <f t="shared" si="8"/>
        <v>&lt;WaitListAdmitted Question="C2"&gt;62&lt;/WaitListAdmitted&gt;</v>
      </c>
    </row>
    <row r="186" spans="4:11" ht="12.75">
      <c r="D186" t="s">
        <v>968</v>
      </c>
      <c r="E186" s="254">
        <f>IF(WaitListRanked1&lt;&gt;"",1,IF(WaitListRanked2&lt;&gt;"",0,-1))</f>
        <v>0</v>
      </c>
      <c r="F186" t="str">
        <f>"=IF("&amp;D186&amp;"1&lt;&gt;"""",1,IF("&amp;D186&amp;"2&lt;&gt;"""",0,-1))"</f>
        <v>=IF(WaitListRanked1&lt;&gt;"",1,IF(WaitListRanked2&lt;&gt;"",0,-1))</v>
      </c>
      <c r="G186" s="307" t="s">
        <v>968</v>
      </c>
      <c r="H186" t="s">
        <v>570</v>
      </c>
      <c r="K186" t="str">
        <f t="shared" si="8"/>
        <v>&lt;WaitListRanked Question="C2"&gt;0&lt;/WaitListRanked&gt;</v>
      </c>
    </row>
    <row r="187" spans="4:11" ht="12.75">
      <c r="D187" t="s">
        <v>969</v>
      </c>
      <c r="E187" s="254">
        <f>IF(WaitListRanksReleasedToStudents1&lt;&gt;"",1,IF(WaitListRanksReleasedToStudents2&lt;&gt;"",0,-1))</f>
        <v>-1</v>
      </c>
      <c r="F187"/>
      <c r="G187" s="307" t="s">
        <v>969</v>
      </c>
      <c r="H187" t="s">
        <v>570</v>
      </c>
      <c r="K187" t="str">
        <f t="shared" si="8"/>
        <v>&lt;WaitListRanksReleasedToStudents Question="C2"&gt;-1&lt;/WaitListRanksReleasedToStudents&gt;</v>
      </c>
    </row>
    <row r="188" spans="4:11" ht="12.75">
      <c r="D188" t="s">
        <v>970</v>
      </c>
      <c r="E188" s="254">
        <f>IF(WaitListRanksReleasedToCounselors1&lt;&gt;"",1,IF(WaitListRanksReleasedToCounselors2&lt;&gt;"",0,-1))</f>
        <v>-1</v>
      </c>
      <c r="F188"/>
      <c r="G188" s="307" t="s">
        <v>970</v>
      </c>
      <c r="H188" t="s">
        <v>570</v>
      </c>
      <c r="K188" t="str">
        <f t="shared" si="8"/>
        <v>&lt;WaitListRanksReleasedToCounselors Question="C2"&gt;-1&lt;/WaitListRanksReleasedToCounselors&gt;</v>
      </c>
    </row>
    <row r="189" spans="4:11" ht="12.75">
      <c r="D189" t="s">
        <v>972</v>
      </c>
      <c r="E189" s="254" t="str">
        <f>CLEAN(IF(HighSchoolDiplomaOrGED&lt;&gt;"",1,IF(HighSchoolDiplomaNotGED&lt;&gt;"",2,IF(HighSchoolNotDiplomaNorGED&lt;&gt;"",3,-1))))</f>
        <v>2</v>
      </c>
      <c r="F189"/>
      <c r="G189" s="307" t="s">
        <v>972</v>
      </c>
      <c r="H189" t="s">
        <v>568</v>
      </c>
      <c r="K189" t="str">
        <f t="shared" si="8"/>
        <v>&lt;HighSchoolDiplomaRequirement Question="C3"&gt;2&lt;/HighSchoolDiplomaRequirement&gt;</v>
      </c>
    </row>
    <row r="190" spans="4:11" ht="12.75">
      <c r="D190" t="s">
        <v>971</v>
      </c>
      <c r="E190" s="254" t="str">
        <f>CLEAN(IF(CollegePrepRequired&lt;&gt;"",1,IF(CollegePrepRecommended&lt;&gt;"",2,IF(CollegePrepNotRequiredNorRecommended&lt;&gt;"",3,-1))))</f>
        <v>2</v>
      </c>
      <c r="F190"/>
      <c r="G190" s="307" t="s">
        <v>971</v>
      </c>
      <c r="H190" t="s">
        <v>571</v>
      </c>
      <c r="K190" t="str">
        <f t="shared" si="8"/>
        <v>&lt;CollegePrepRequirement Question="C4"&gt;2&lt;/CollegePrepRequirement&gt;</v>
      </c>
    </row>
    <row r="191" spans="4:11" ht="12.75">
      <c r="D191" t="s">
        <v>1915</v>
      </c>
      <c r="E191" s="268" t="str">
        <f>IF(RequiredUnitsTotal&lt;&gt;"",RequiredUnitsTotal,"-1")</f>
        <v>-1</v>
      </c>
      <c r="F191" t="str">
        <f>"=IF("&amp;D191&amp;"&lt;&gt;"""","&amp;D191&amp;",""-1"")"</f>
        <v>=IF(RequiredUnitsTotal&lt;&gt;"",RequiredUnitsTotal,"-1")</v>
      </c>
      <c r="G191" s="307" t="s">
        <v>1915</v>
      </c>
      <c r="H191" t="s">
        <v>572</v>
      </c>
      <c r="K191" t="str">
        <f t="shared" si="8"/>
        <v>&lt;RequiredUnitsTotal Question="C5"&gt;-1&lt;/RequiredUnitsTotal&gt;</v>
      </c>
    </row>
    <row r="192" spans="4:11" ht="12.75">
      <c r="D192" t="s">
        <v>1916</v>
      </c>
      <c r="E192" s="268" t="str">
        <f>IF(RecommendedUnitsTotal&lt;&gt;"",RecommendedUnitsTotal,"-1")</f>
        <v>-1</v>
      </c>
      <c r="F192"/>
      <c r="G192" s="307" t="s">
        <v>1916</v>
      </c>
      <c r="H192" t="s">
        <v>572</v>
      </c>
      <c r="K192" t="str">
        <f t="shared" si="8"/>
        <v>&lt;RecommendedUnitsTotal Question="C5"&gt;-1&lt;/RecommendedUnitsTotal&gt;</v>
      </c>
    </row>
    <row r="193" spans="4:11" ht="12.75">
      <c r="D193" t="s">
        <v>1917</v>
      </c>
      <c r="E193" s="268" t="str">
        <f>IF(RequiredUnitsEnglish&lt;&gt;"",RequiredUnitsEnglish,"-1")</f>
        <v>-1</v>
      </c>
      <c r="F193"/>
      <c r="G193" s="307" t="s">
        <v>1917</v>
      </c>
      <c r="H193" t="s">
        <v>572</v>
      </c>
      <c r="K193" t="str">
        <f t="shared" si="8"/>
        <v>&lt;RequiredUnitsEnglish Question="C5"&gt;-1&lt;/RequiredUnitsEnglish&gt;</v>
      </c>
    </row>
    <row r="194" spans="4:11" ht="12.75">
      <c r="D194" t="s">
        <v>1920</v>
      </c>
      <c r="E194" s="268">
        <f>IF(RecommendedUnitsEnglish&lt;&gt;"",RecommendedUnitsEnglish,"-1")</f>
        <v>4</v>
      </c>
      <c r="F194"/>
      <c r="G194" s="307" t="s">
        <v>1920</v>
      </c>
      <c r="H194" t="s">
        <v>572</v>
      </c>
      <c r="K194" t="str">
        <f t="shared" si="8"/>
        <v>&lt;RecommendedUnitsEnglish Question="C5"&gt;4&lt;/RecommendedUnitsEnglish&gt;</v>
      </c>
    </row>
    <row r="195" spans="4:11" ht="12.75">
      <c r="D195" t="s">
        <v>1921</v>
      </c>
      <c r="E195" s="268" t="str">
        <f>IF(RequiredUnitsMath&lt;&gt;"",RequiredUnitsMath,"-1")</f>
        <v>-1</v>
      </c>
      <c r="F195"/>
      <c r="G195" s="307" t="s">
        <v>1921</v>
      </c>
      <c r="H195" t="s">
        <v>572</v>
      </c>
      <c r="K195" t="str">
        <f t="shared" si="8"/>
        <v>&lt;RequiredUnitsMath Question="C5"&gt;-1&lt;/RequiredUnitsMath&gt;</v>
      </c>
    </row>
    <row r="196" spans="4:11" ht="12.75">
      <c r="D196" t="s">
        <v>1922</v>
      </c>
      <c r="E196" s="268">
        <f>IF(RecommendedUnitsMath&lt;&gt;"",RecommendedUnitsMath,"-1")</f>
        <v>4</v>
      </c>
      <c r="F196"/>
      <c r="G196" s="307" t="s">
        <v>1922</v>
      </c>
      <c r="H196" t="s">
        <v>572</v>
      </c>
      <c r="K196" t="str">
        <f t="shared" si="8"/>
        <v>&lt;RecommendedUnitsMath Question="C5"&gt;4&lt;/RecommendedUnitsMath&gt;</v>
      </c>
    </row>
    <row r="197" spans="4:11" ht="12.75">
      <c r="D197" t="s">
        <v>1923</v>
      </c>
      <c r="E197" s="268" t="str">
        <f>IF(RequiredUnitsScience&lt;&gt;"",RequiredUnitsScience,"-1")</f>
        <v>-1</v>
      </c>
      <c r="F197"/>
      <c r="G197" s="307" t="s">
        <v>1923</v>
      </c>
      <c r="H197" t="s">
        <v>572</v>
      </c>
      <c r="K197" t="str">
        <f t="shared" si="8"/>
        <v>&lt;RequiredUnitsScience Question="C5"&gt;-1&lt;/RequiredUnitsScience&gt;</v>
      </c>
    </row>
    <row r="198" spans="4:11" ht="12.75">
      <c r="D198" t="s">
        <v>1924</v>
      </c>
      <c r="E198" s="268">
        <f>IF(RecommendedUnitsScience&lt;&gt;"",RecommendedUnitsScience,"-1")</f>
        <v>4</v>
      </c>
      <c r="F198"/>
      <c r="G198" s="307" t="s">
        <v>1924</v>
      </c>
      <c r="H198" t="s">
        <v>572</v>
      </c>
      <c r="K198" t="str">
        <f t="shared" si="8"/>
        <v>&lt;RecommendedUnitsScience Question="C5"&gt;4&lt;/RecommendedUnitsScience&gt;</v>
      </c>
    </row>
    <row r="199" spans="4:11" ht="12.75">
      <c r="D199" t="s">
        <v>1925</v>
      </c>
      <c r="E199" s="268" t="str">
        <f>IF(RequiredUnitsScienceLab&lt;&gt;"",RequiredUnitsScienceLab,"-1")</f>
        <v>-1</v>
      </c>
      <c r="F199"/>
      <c r="G199" s="307" t="s">
        <v>1925</v>
      </c>
      <c r="H199" t="s">
        <v>572</v>
      </c>
      <c r="K199" t="str">
        <f t="shared" si="8"/>
        <v>&lt;RequiredUnitsScienceLab Question="C5"&gt;-1&lt;/RequiredUnitsScienceLab&gt;</v>
      </c>
    </row>
    <row r="200" spans="4:11" ht="12.75">
      <c r="D200" t="s">
        <v>1926</v>
      </c>
      <c r="E200" s="268">
        <f>IF(RecommendedUnitsScienceLab&lt;&gt;"",RecommendedUnitsScienceLab,"-1")</f>
        <v>3</v>
      </c>
      <c r="F200"/>
      <c r="G200" s="307" t="s">
        <v>1926</v>
      </c>
      <c r="H200" t="s">
        <v>572</v>
      </c>
      <c r="K200" t="str">
        <f t="shared" si="8"/>
        <v>&lt;RecommendedUnitsScienceLab Question="C5"&gt;3&lt;/RecommendedUnitsScienceLab&gt;</v>
      </c>
    </row>
    <row r="201" spans="4:11" ht="12.75">
      <c r="D201" t="s">
        <v>1927</v>
      </c>
      <c r="E201" s="268" t="str">
        <f>IF(RequiredUnitsForeignLanguage&lt;&gt;"",RequiredUnitsForeignLanguage,"-1")</f>
        <v>-1</v>
      </c>
      <c r="F201"/>
      <c r="G201" s="307" t="s">
        <v>1927</v>
      </c>
      <c r="H201" t="s">
        <v>572</v>
      </c>
      <c r="K201" t="str">
        <f t="shared" si="8"/>
        <v>&lt;RequiredUnitsForeignLanguage Question="C5"&gt;-1&lt;/RequiredUnitsForeignLanguage&gt;</v>
      </c>
    </row>
    <row r="202" spans="4:11" ht="12.75">
      <c r="D202" t="s">
        <v>1928</v>
      </c>
      <c r="E202" s="268">
        <f>IF(RecommendedUnitsForeignLanguage&lt;&gt;"",RecommendedUnitsForeignLanguage,"-1")</f>
        <v>4</v>
      </c>
      <c r="F202"/>
      <c r="G202" s="307" t="s">
        <v>1928</v>
      </c>
      <c r="H202" t="s">
        <v>572</v>
      </c>
      <c r="K202" t="str">
        <f t="shared" si="8"/>
        <v>&lt;RecommendedUnitsForeignLanguage Question="C5"&gt;4&lt;/RecommendedUnitsForeignLanguage&gt;</v>
      </c>
    </row>
    <row r="203" spans="4:11" ht="12.75">
      <c r="D203" t="s">
        <v>1929</v>
      </c>
      <c r="E203" s="268" t="str">
        <f>IF(RequiredUnitsSocialStudies&lt;&gt;"",RequiredUnitsSocialStudies,"-1")</f>
        <v>-1</v>
      </c>
      <c r="F203"/>
      <c r="G203" s="307" t="s">
        <v>1929</v>
      </c>
      <c r="H203" t="s">
        <v>572</v>
      </c>
      <c r="K203" t="str">
        <f t="shared" si="8"/>
        <v>&lt;RequiredUnitsSocialStudies Question="C5"&gt;-1&lt;/RequiredUnitsSocialStudies&gt;</v>
      </c>
    </row>
    <row r="204" spans="4:11" ht="12.75">
      <c r="D204" t="s">
        <v>1930</v>
      </c>
      <c r="E204" s="268">
        <f>IF(RecommendedUnitsSocialStudies&lt;&gt;"",RecommendedUnitsSocialStudies,"-1")</f>
        <v>4</v>
      </c>
      <c r="F204"/>
      <c r="G204" s="307" t="s">
        <v>1930</v>
      </c>
      <c r="H204" t="s">
        <v>572</v>
      </c>
      <c r="K204" t="str">
        <f t="shared" si="8"/>
        <v>&lt;RecommendedUnitsSocialStudies Question="C5"&gt;4&lt;/RecommendedUnitsSocialStudies&gt;</v>
      </c>
    </row>
    <row r="205" spans="4:11" ht="12.75">
      <c r="D205" t="s">
        <v>1931</v>
      </c>
      <c r="E205" s="268" t="str">
        <f>IF(RequiredUnitsHistory&lt;&gt;"",RequiredUnitsHistory,"-1")</f>
        <v>-1</v>
      </c>
      <c r="F205"/>
      <c r="G205" s="307" t="s">
        <v>1931</v>
      </c>
      <c r="H205" t="s">
        <v>572</v>
      </c>
      <c r="K205" t="str">
        <f t="shared" si="8"/>
        <v>&lt;RequiredUnitsHistory Question="C5"&gt;-1&lt;/RequiredUnitsHistory&gt;</v>
      </c>
    </row>
    <row r="206" spans="4:11" ht="12.75">
      <c r="D206" t="s">
        <v>1932</v>
      </c>
      <c r="E206" s="268" t="str">
        <f>IF(RecommendedUnitsHistory&lt;&gt;"",RecommendedUnitsHistory,"-1")</f>
        <v>-1</v>
      </c>
      <c r="F206"/>
      <c r="G206" s="307" t="s">
        <v>1932</v>
      </c>
      <c r="H206" t="s">
        <v>572</v>
      </c>
      <c r="K206" t="str">
        <f t="shared" si="8"/>
        <v>&lt;RecommendedUnitsHistory Question="C5"&gt;-1&lt;/RecommendedUnitsHistory&gt;</v>
      </c>
    </row>
    <row r="207" spans="4:11" ht="12.75">
      <c r="D207" t="s">
        <v>1933</v>
      </c>
      <c r="E207" s="268" t="str">
        <f>IF(RequiredUnitsElectives&lt;&gt;"",RequiredUnitsElectives,"-1")</f>
        <v>-1</v>
      </c>
      <c r="F207"/>
      <c r="G207" s="307" t="s">
        <v>1933</v>
      </c>
      <c r="H207" t="s">
        <v>572</v>
      </c>
      <c r="K207" t="str">
        <f t="shared" si="8"/>
        <v>&lt;RequiredUnitsElectives Question="C5"&gt;-1&lt;/RequiredUnitsElectives&gt;</v>
      </c>
    </row>
    <row r="208" spans="4:11" ht="12.75">
      <c r="D208" t="s">
        <v>1934</v>
      </c>
      <c r="E208" s="268" t="str">
        <f>IF(RecommendedUnitsElectives&lt;&gt;"",RecommendedUnitsElectives,"-1")</f>
        <v>-1</v>
      </c>
      <c r="F208"/>
      <c r="G208" s="307" t="s">
        <v>1934</v>
      </c>
      <c r="H208" t="s">
        <v>572</v>
      </c>
      <c r="K208" t="str">
        <f t="shared" si="8"/>
        <v>&lt;RecommendedUnitsElectives Question="C5"&gt;-1&lt;/RecommendedUnitsElectives&gt;</v>
      </c>
    </row>
    <row r="209" spans="4:11" ht="12.75">
      <c r="D209" t="s">
        <v>1886</v>
      </c>
      <c r="E209" s="268" t="str">
        <f>IF(RequiredUnitsComputerScience&lt;&gt;"",RequiredUnitsComputerScience,"-1")</f>
        <v>-1</v>
      </c>
      <c r="F209"/>
      <c r="G209" s="307" t="s">
        <v>1886</v>
      </c>
      <c r="H209" t="s">
        <v>572</v>
      </c>
      <c r="K209" t="str">
        <f t="shared" si="8"/>
        <v>&lt;RequiredUnitsComputerScience Question="C5"&gt;-1&lt;/RequiredUnitsComputerScience&gt;</v>
      </c>
    </row>
    <row r="210" spans="4:11" ht="12.75">
      <c r="D210" t="s">
        <v>1887</v>
      </c>
      <c r="E210" s="268" t="str">
        <f>IF(RecommendedUnitsComputerScience&lt;&gt;"",RecommendedUnitsComputerScience,"-1")</f>
        <v>-1</v>
      </c>
      <c r="F210"/>
      <c r="G210" s="307" t="s">
        <v>1887</v>
      </c>
      <c r="H210" t="s">
        <v>572</v>
      </c>
      <c r="K210" t="str">
        <f t="shared" si="8"/>
        <v>&lt;RecommendedUnitsComputerScience Question="C5"&gt;-1&lt;/RecommendedUnitsComputerScience&gt;</v>
      </c>
    </row>
    <row r="211" spans="4:11" ht="12.75">
      <c r="D211" t="s">
        <v>1888</v>
      </c>
      <c r="E211" s="268" t="str">
        <f>IF(RequiredUnitsArts&lt;&gt;"",RequiredUnitsArts,"-1")</f>
        <v>-1</v>
      </c>
      <c r="F211"/>
      <c r="G211" s="307" t="s">
        <v>1888</v>
      </c>
      <c r="H211" t="s">
        <v>572</v>
      </c>
      <c r="K211" t="str">
        <f>"&lt;"&amp;G211&amp;" Question="""&amp;H211&amp;"""&gt;"&amp;IF(J211=1,"&lt;![CDATA[","")&amp;E211&amp;IF(J211=1,"]]&gt;","")&amp;"&lt;/"&amp;G211&amp;"&gt;"</f>
        <v>&lt;RequiredUnitsArts Question="C5"&gt;-1&lt;/RequiredUnitsArts&gt;</v>
      </c>
    </row>
    <row r="212" spans="4:11" ht="12.75">
      <c r="D212" t="s">
        <v>1889</v>
      </c>
      <c r="E212" s="268" t="str">
        <f>IF(RecommendedUnitsArts&lt;&gt;"",RecommendedUnitsArts,"-1")</f>
        <v>-1</v>
      </c>
      <c r="F212"/>
      <c r="G212" s="307" t="s">
        <v>1889</v>
      </c>
      <c r="H212" t="s">
        <v>572</v>
      </c>
      <c r="K212" t="str">
        <f>"&lt;"&amp;G212&amp;" Question="""&amp;H212&amp;"""&gt;"&amp;IF(J212=1,"&lt;![CDATA[","")&amp;E212&amp;IF(J212=1,"]]&gt;","")&amp;"&lt;/"&amp;G212&amp;"&gt;"</f>
        <v>&lt;RecommendedUnitsArts Question="C5"&gt;-1&lt;/RecommendedUnitsArts&gt;</v>
      </c>
    </row>
    <row r="213" spans="4:11" ht="12.75">
      <c r="D213" t="s">
        <v>1919</v>
      </c>
      <c r="E213" s="291">
        <f>CLEAN(OtherUnits)</f>
      </c>
      <c r="F213"/>
      <c r="G213" s="307" t="s">
        <v>1919</v>
      </c>
      <c r="H213" t="s">
        <v>572</v>
      </c>
      <c r="J213">
        <v>1</v>
      </c>
      <c r="K213" t="str">
        <f t="shared" si="8"/>
        <v>&lt;OtherUnits Question="C5"&gt;&lt;![CDATA[]]&gt;&lt;/OtherUnits&gt;</v>
      </c>
    </row>
    <row r="214" spans="4:11" ht="12.75">
      <c r="D214" t="s">
        <v>1935</v>
      </c>
      <c r="E214" s="291" t="str">
        <f>IF(RequiredUnitsOther&lt;&gt;"",RequiredUnitsOther,"-1")</f>
        <v>-1</v>
      </c>
      <c r="F214" t="str">
        <f>"=IF("&amp;D214&amp;"&lt;&gt;"""","&amp;D214&amp;",""-1"")"</f>
        <v>=IF(RequiredUnitsOther&lt;&gt;"",RequiredUnitsOther,"-1")</v>
      </c>
      <c r="G214" s="307" t="s">
        <v>1935</v>
      </c>
      <c r="H214" t="s">
        <v>572</v>
      </c>
      <c r="K214" t="str">
        <f t="shared" si="8"/>
        <v>&lt;RequiredUnitsOther Question="C5"&gt;-1&lt;/RequiredUnitsOther&gt;</v>
      </c>
    </row>
    <row r="215" spans="4:11" ht="12.75">
      <c r="D215" t="s">
        <v>1936</v>
      </c>
      <c r="E215" s="291" t="str">
        <f>IF(RecommendedUnitsOther&lt;&gt;"",RecommendedUnitsOther,"-1")</f>
        <v>-1</v>
      </c>
      <c r="F215"/>
      <c r="G215" s="307" t="s">
        <v>1936</v>
      </c>
      <c r="H215" t="s">
        <v>572</v>
      </c>
      <c r="K215" t="str">
        <f t="shared" si="8"/>
        <v>&lt;RecommendedUnitsOther Question="C5"&gt;-1&lt;/RecommendedUnitsOther&gt;</v>
      </c>
    </row>
    <row r="216" spans="4:11" ht="12.75">
      <c r="D216" t="s">
        <v>1937</v>
      </c>
      <c r="E216" s="254">
        <f>IF(OpenAdmissions&lt;&gt;"",1,0)</f>
        <v>0</v>
      </c>
      <c r="F216" t="str">
        <f>"=IF("&amp;D216&amp;"&lt;&gt;"""",1,0)"</f>
        <v>=IF(OpenAdmissions&lt;&gt;"",1,0)</v>
      </c>
      <c r="G216" s="307" t="s">
        <v>1937</v>
      </c>
      <c r="H216" t="s">
        <v>573</v>
      </c>
      <c r="K216" t="str">
        <f t="shared" si="8"/>
        <v>&lt;OpenAdmissions Question="C6"&gt;0&lt;/OpenAdmissions&gt;</v>
      </c>
    </row>
    <row r="217" spans="4:11" ht="12.75">
      <c r="D217" t="s">
        <v>1938</v>
      </c>
      <c r="E217" s="254">
        <f>IF(OpenButSelectiveForOutOfState&lt;&gt;"",1,0)</f>
        <v>0</v>
      </c>
      <c r="F217"/>
      <c r="G217" s="307" t="s">
        <v>1938</v>
      </c>
      <c r="H217" t="s">
        <v>573</v>
      </c>
      <c r="K217" t="str">
        <f t="shared" si="8"/>
        <v>&lt;OpenButSelectiveForOutOfState Question="C6"&gt;0&lt;/OpenButSelectiveForOutOfState&gt;</v>
      </c>
    </row>
    <row r="218" spans="4:11" ht="12.75">
      <c r="D218" t="s">
        <v>1939</v>
      </c>
      <c r="E218" s="254">
        <f>IF(OpenButSelectiveForSomePrograms&lt;&gt;"",1,0)</f>
        <v>0</v>
      </c>
      <c r="F218"/>
      <c r="G218" s="307" t="s">
        <v>1939</v>
      </c>
      <c r="H218" t="s">
        <v>573</v>
      </c>
      <c r="K218" t="str">
        <f t="shared" si="8"/>
        <v>&lt;OpenButSelectiveForSomePrograms Question="C6"&gt;0&lt;/OpenButSelectiveForSomePrograms&gt;</v>
      </c>
    </row>
    <row r="219" spans="4:11" ht="12.75">
      <c r="D219" t="s">
        <v>1940</v>
      </c>
      <c r="E219" s="254">
        <f>CLEAN(OpenButOtherSelectionCriteria)</f>
      </c>
      <c r="F219"/>
      <c r="G219" s="307" t="s">
        <v>1940</v>
      </c>
      <c r="H219" t="s">
        <v>573</v>
      </c>
      <c r="J219">
        <v>1</v>
      </c>
      <c r="K219" t="str">
        <f t="shared" si="8"/>
        <v>&lt;OpenButOtherSelectionCriteria Question="C6"&gt;&lt;![CDATA[]]&gt;&lt;/OpenButOtherSelectionCriteria&gt;</v>
      </c>
    </row>
    <row r="220" spans="4:11" ht="12.75">
      <c r="D220" t="s">
        <v>997</v>
      </c>
      <c r="E220" s="254">
        <f>IF(AdmissionSelectionAcademicRigorHighSchoolRecord_1&lt;&gt;"",1,IF(AdmissionSelectionAcademicRigorHighSchoolRecord_2&lt;&gt;"",2,IF(AdmissionSelectionAcademicRigorHighSchoolRecord_3&lt;&gt;"",3,IF(AdmissionSelectionAcademicRigorHighSchoolRecord_4&lt;&gt;"",4,-1))))</f>
        <v>1</v>
      </c>
      <c r="F220" t="str">
        <f>"=If("&amp;D220&amp;"_1&lt;&gt;"""",1,if("&amp;D220&amp;"_2&lt;&gt;"""",2,if("&amp;D220&amp;"_3&lt;&gt;"""",3,if("&amp;D220&amp;"_4&lt;&gt;"""",4,-1))))"</f>
        <v>=If(AdmissionSelectionAcademicRigorHighSchoolRecord_1&lt;&gt;"",1,if(AdmissionSelectionAcademicRigorHighSchoolRecord_2&lt;&gt;"",2,if(AdmissionSelectionAcademicRigorHighSchoolRecord_3&lt;&gt;"",3,if(AdmissionSelectionAcademicRigorHighSchoolRecord_4&lt;&gt;"",4,-1))))</v>
      </c>
      <c r="G220" s="307" t="s">
        <v>997</v>
      </c>
      <c r="H220" t="s">
        <v>574</v>
      </c>
      <c r="K220" t="str">
        <f t="shared" si="8"/>
        <v>&lt;AdmissionSelectionAcademicRigorHighSchoolRecord Question="C7"&gt;1&lt;/AdmissionSelectionAcademicRigorHighSchoolRecord&gt;</v>
      </c>
    </row>
    <row r="221" spans="4:11" ht="12.75">
      <c r="D221" t="s">
        <v>1941</v>
      </c>
      <c r="E221" s="254">
        <f>IF(AdmissionSelectionAcademicClassRank_1&lt;&gt;"",1,IF(AdmissionSelectionAcademicClassRank_2&lt;&gt;"",2,IF(AdmissionSelectionAcademicClassRank_3&lt;&gt;"",3,IF(AdmissionSelectionAcademicClassRank_4&lt;&gt;"",4,-1))))</f>
        <v>1</v>
      </c>
      <c r="F221"/>
      <c r="G221" s="307" t="s">
        <v>1941</v>
      </c>
      <c r="H221" t="s">
        <v>574</v>
      </c>
      <c r="K221" t="str">
        <f t="shared" si="8"/>
        <v>&lt;AdmissionSelectionAcademicClassRank Question="C7"&gt;1&lt;/AdmissionSelectionAcademicClassRank&gt;</v>
      </c>
    </row>
    <row r="222" spans="4:11" ht="12.75">
      <c r="D222" t="s">
        <v>1942</v>
      </c>
      <c r="E222" s="254">
        <f>IF(AdmissionSelectionAcademicGPA_1&lt;&gt;"",1,IF(AdmissionSelectionAcademicGPA_2&lt;&gt;"",2,IF(AdmissionSelectionAcademicGPA_3&lt;&gt;"",3,IF(AdmissionSelectionAcademicGPA_4&lt;&gt;"",4,-1))))</f>
        <v>1</v>
      </c>
      <c r="F222"/>
      <c r="G222" s="307" t="s">
        <v>1942</v>
      </c>
      <c r="H222" t="s">
        <v>574</v>
      </c>
      <c r="K222" t="str">
        <f t="shared" si="8"/>
        <v>&lt;AdmissionSelectionAcademicGPA Question="C7"&gt;1&lt;/AdmissionSelectionAcademicGPA&gt;</v>
      </c>
    </row>
    <row r="223" spans="4:11" ht="12.75">
      <c r="D223" t="s">
        <v>1943</v>
      </c>
      <c r="E223" s="254">
        <f>IF(AdmissionSelectionAcademicStandardizedTestScores_1&lt;&gt;"",1,IF(AdmissionSelectionAcademicStandardizedTestScores_2&lt;&gt;"",2,IF(AdmissionSelectionAcademicStandardizedTestScores_3&lt;&gt;"",3,IF(AdmissionSelectionAcademicStandardizedTestScores_4&lt;&gt;"",4,-1))))</f>
        <v>1</v>
      </c>
      <c r="F223"/>
      <c r="G223" s="307" t="s">
        <v>1943</v>
      </c>
      <c r="H223" t="s">
        <v>574</v>
      </c>
      <c r="K223" t="str">
        <f t="shared" si="8"/>
        <v>&lt;AdmissionSelectionAcademicStandardizedTestScores Question="C7"&gt;1&lt;/AdmissionSelectionAcademicStandardizedTestScores&gt;</v>
      </c>
    </row>
    <row r="224" spans="4:11" ht="12.75">
      <c r="D224" t="s">
        <v>1944</v>
      </c>
      <c r="E224" s="254">
        <f>IF(AdmissionSelectionAcademicApplicationEssay_1&lt;&gt;"",1,IF(AdmissionSelectionAcademicApplicationEssay_2&lt;&gt;"",2,IF(AdmissionSelectionAcademicApplicationEssay_3&lt;&gt;"",3,IF(AdmissionSelectionAcademicApplicationEssay_4&lt;&gt;"",4,-1))))</f>
        <v>1</v>
      </c>
      <c r="F224"/>
      <c r="G224" s="307" t="s">
        <v>1944</v>
      </c>
      <c r="H224" t="s">
        <v>574</v>
      </c>
      <c r="K224" t="str">
        <f t="shared" si="8"/>
        <v>&lt;AdmissionSelectionAcademicApplicationEssay Question="C7"&gt;1&lt;/AdmissionSelectionAcademicApplicationEssay&gt;</v>
      </c>
    </row>
    <row r="225" spans="4:11" ht="12.75">
      <c r="D225" t="s">
        <v>1945</v>
      </c>
      <c r="E225" s="254">
        <f>IF(AdmissionSelectionAcademicRecommendations_1&lt;&gt;"",1,IF(AdmissionSelectionAcademicRecommendations_2&lt;&gt;"",2,IF(AdmissionSelectionAcademicRecommendations_3&lt;&gt;"",3,IF(AdmissionSelectionAcademicRecommendations_4&lt;&gt;"",4,-1))))</f>
        <v>1</v>
      </c>
      <c r="F225"/>
      <c r="G225" s="307" t="s">
        <v>1945</v>
      </c>
      <c r="H225" t="s">
        <v>574</v>
      </c>
      <c r="K225" t="str">
        <f t="shared" si="8"/>
        <v>&lt;AdmissionSelectionAcademicRecommendations Question="C7"&gt;1&lt;/AdmissionSelectionAcademicRecommendations&gt;</v>
      </c>
    </row>
    <row r="226" spans="4:11" ht="12.75">
      <c r="D226" t="s">
        <v>1946</v>
      </c>
      <c r="E226" s="254">
        <f>IF(AdmissionSelectionNonAcademicInterview_1&lt;&gt;"",1,IF(AdmissionSelectionNonAcademicInterview_2&lt;&gt;"",2,IF(AdmissionSelectionNonAcademicInterview_3&lt;&gt;"",3,IF(AdmissionSelectionNonAcademicInterview_4&lt;&gt;"",4,-1))))</f>
        <v>3</v>
      </c>
      <c r="F226"/>
      <c r="G226" s="307" t="s">
        <v>1946</v>
      </c>
      <c r="H226" t="s">
        <v>574</v>
      </c>
      <c r="K226" t="str">
        <f t="shared" si="8"/>
        <v>&lt;AdmissionSelectionNonAcademicInterview Question="C7"&gt;3&lt;/AdmissionSelectionNonAcademicInterview&gt;</v>
      </c>
    </row>
    <row r="227" spans="4:11" ht="12.75">
      <c r="D227" t="s">
        <v>1947</v>
      </c>
      <c r="E227" s="254">
        <f>IF(AdmissionSelectionNonAcademicExtracurrics_1&lt;&gt;"",1,IF(AdmissionSelectionNonAcademicExtracurrics_2&lt;&gt;"",2,IF(AdmissionSelectionNonAcademicExtracurrics_3&lt;&gt;"",3,IF(AdmissionSelectionNonAcademicExtracurrics_4&lt;&gt;"",4,-1))))</f>
        <v>1</v>
      </c>
      <c r="F227"/>
      <c r="G227" s="307" t="s">
        <v>1947</v>
      </c>
      <c r="H227" t="s">
        <v>574</v>
      </c>
      <c r="K227" t="str">
        <f t="shared" si="8"/>
        <v>&lt;AdmissionSelectionNonAcademicExtracurrics Question="C7"&gt;1&lt;/AdmissionSelectionNonAcademicExtracurrics&gt;</v>
      </c>
    </row>
    <row r="228" spans="4:11" ht="12.75">
      <c r="D228" t="s">
        <v>1948</v>
      </c>
      <c r="E228" s="254">
        <f>IF(AdmissionSelectionNonAcademicTalent_1&lt;&gt;"",1,IF(AdmissionSelectionNonAcademicTalent_2&lt;&gt;"",2,IF(AdmissionSelectionNonAcademicTalent_3&lt;&gt;"",3,IF(AdmissionSelectionNonAcademicTalent_4&lt;&gt;"",4,-1))))</f>
        <v>1</v>
      </c>
      <c r="F228"/>
      <c r="G228" s="307" t="s">
        <v>1948</v>
      </c>
      <c r="H228" t="s">
        <v>574</v>
      </c>
      <c r="K228" t="str">
        <f t="shared" si="8"/>
        <v>&lt;AdmissionSelectionNonAcademicTalent Question="C7"&gt;1&lt;/AdmissionSelectionNonAcademicTalent&gt;</v>
      </c>
    </row>
    <row r="229" spans="4:11" ht="12.75">
      <c r="D229" t="s">
        <v>1949</v>
      </c>
      <c r="E229" s="254">
        <f>IF(AdmissionSelectionNonAcademicCharacter_1&lt;&gt;"",1,IF(AdmissionSelectionNonAcademicCharacter_2&lt;&gt;"",2,IF(AdmissionSelectionNonAcademicCharacter_3&lt;&gt;"",3,IF(AdmissionSelectionNonAcademicCharacter_4&lt;&gt;"",4,-1))))</f>
        <v>1</v>
      </c>
      <c r="F229"/>
      <c r="G229" s="307" t="s">
        <v>1949</v>
      </c>
      <c r="H229" t="s">
        <v>574</v>
      </c>
      <c r="K229" t="str">
        <f t="shared" si="8"/>
        <v>&lt;AdmissionSelectionNonAcademicCharacter Question="C7"&gt;1&lt;/AdmissionSelectionNonAcademicCharacter&gt;</v>
      </c>
    </row>
    <row r="230" spans="4:11" ht="12.75">
      <c r="D230" t="s">
        <v>1950</v>
      </c>
      <c r="E230" s="254">
        <f>IF(AdmissionSelectionNonAcademicFirstGeneration_1&lt;&gt;"",1,IF(AdmissionSelectionNonAcademicFirstGeneration_2&lt;&gt;"",2,IF(AdmissionSelectionNonAcademicFirstGeneration_3&lt;&gt;"",3,IF(AdmissionSelectionNonAcademicFirstGeneration_4&lt;&gt;"",4,-1))))</f>
        <v>3</v>
      </c>
      <c r="F230"/>
      <c r="G230" s="307" t="s">
        <v>1950</v>
      </c>
      <c r="H230" t="s">
        <v>574</v>
      </c>
      <c r="K230" t="str">
        <f t="shared" si="8"/>
        <v>&lt;AdmissionSelectionNonAcademicFirstGeneration Question="C7"&gt;3&lt;/AdmissionSelectionNonAcademicFirstGeneration&gt;</v>
      </c>
    </row>
    <row r="231" spans="4:11" ht="12.75">
      <c r="D231" t="s">
        <v>1951</v>
      </c>
      <c r="E231" s="254">
        <f>IF(AdmissionSelectionNonAcademicAlumni_1&lt;&gt;"",1,IF(AdmissionSelectionNonAcademicAlumni_2&lt;&gt;"",2,IF(AdmissionSelectionNonAcademicAlumni_3&lt;&gt;"",3,IF(AdmissionSelectionNonAcademicAlumni_4&lt;&gt;"",4,-1))))</f>
        <v>3</v>
      </c>
      <c r="F231"/>
      <c r="G231" s="307" t="s">
        <v>1951</v>
      </c>
      <c r="H231" t="s">
        <v>574</v>
      </c>
      <c r="K231" t="str">
        <f t="shared" si="8"/>
        <v>&lt;AdmissionSelectionNonAcademicAlumni Question="C7"&gt;3&lt;/AdmissionSelectionNonAcademicAlumni&gt;</v>
      </c>
    </row>
    <row r="232" spans="4:11" ht="12.75">
      <c r="D232" t="s">
        <v>1952</v>
      </c>
      <c r="E232" s="254">
        <f>IF(AdmissionSelectionNonAcademicGeographicalResidence_1&lt;&gt;"",1,IF(AdmissionSelectionNonAcademicGeographicalResidence_2&lt;&gt;"",2,IF(AdmissionSelectionNonAcademicGeographicalResidence_3&lt;&gt;"",3,IF(AdmissionSelectionNonAcademicGeographicalResidence_4&lt;&gt;"",4,-1))))</f>
        <v>3</v>
      </c>
      <c r="F232"/>
      <c r="G232" s="307" t="s">
        <v>1952</v>
      </c>
      <c r="H232" t="s">
        <v>574</v>
      </c>
      <c r="K232" t="str">
        <f t="shared" si="8"/>
        <v>&lt;AdmissionSelectionNonAcademicGeographicalResidence Question="C7"&gt;3&lt;/AdmissionSelectionNonAcademicGeographicalResidence&gt;</v>
      </c>
    </row>
    <row r="233" spans="4:11" ht="12.75">
      <c r="D233" t="s">
        <v>1953</v>
      </c>
      <c r="E233" s="254">
        <f>IF(AdmissionSelectionNonAcademicStateResidence_1&lt;&gt;"",1,IF(AdmissionSelectionNonAcademicStateResidence_2&lt;&gt;"",2,IF(AdmissionSelectionNonAcademicStateResidence_3&lt;&gt;"",3,IF(AdmissionSelectionNonAcademicStateResidence_4&lt;&gt;"",4,-1))))</f>
        <v>1</v>
      </c>
      <c r="F233"/>
      <c r="G233" s="307" t="s">
        <v>1953</v>
      </c>
      <c r="H233" t="s">
        <v>574</v>
      </c>
      <c r="K233" t="str">
        <f t="shared" si="8"/>
        <v>&lt;AdmissionSelectionNonAcademicStateResidence Question="C7"&gt;1&lt;/AdmissionSelectionNonAcademicStateResidence&gt;</v>
      </c>
    </row>
    <row r="234" spans="4:11" ht="12.75">
      <c r="D234" t="s">
        <v>1954</v>
      </c>
      <c r="E234" s="254">
        <f>IF(AdmissionSelectionNonAcademicReligion_1&lt;&gt;"",1,IF(AdmissionSelectionNonAcademicReligion_2&lt;&gt;"",2,IF(AdmissionSelectionNonAcademicReligion_3&lt;&gt;"",3,IF(AdmissionSelectionNonAcademicReligion_4&lt;&gt;"",4,-1))))</f>
        <v>4</v>
      </c>
      <c r="F234"/>
      <c r="G234" s="307" t="s">
        <v>1954</v>
      </c>
      <c r="H234" t="s">
        <v>574</v>
      </c>
      <c r="K234" t="str">
        <f t="shared" si="8"/>
        <v>&lt;AdmissionSelectionNonAcademicReligion Question="C7"&gt;4&lt;/AdmissionSelectionNonAcademicReligion&gt;</v>
      </c>
    </row>
    <row r="235" spans="4:11" ht="12.75">
      <c r="D235" t="s">
        <v>1955</v>
      </c>
      <c r="E235" s="254">
        <f>IF(AdmissionSelectionNonAcademicRaceEthnicity_1&lt;&gt;"",1,IF(AdmissionSelectionNonAcademicRaceEthnicity_2&lt;&gt;"",2,IF(AdmissionSelectionNonAcademicRaceEthnicity_3&lt;&gt;"",3,IF(AdmissionSelectionNonAcademicRaceEthnicity_4&lt;&gt;"",4,-1))))</f>
        <v>3</v>
      </c>
      <c r="F235"/>
      <c r="G235" s="307" t="s">
        <v>1955</v>
      </c>
      <c r="H235" t="s">
        <v>574</v>
      </c>
      <c r="K235" t="str">
        <f t="shared" si="8"/>
        <v>&lt;AdmissionSelectionNonAcademicRaceEthnicity Question="C7"&gt;3&lt;/AdmissionSelectionNonAcademicRaceEthnicity&gt;</v>
      </c>
    </row>
    <row r="236" spans="4:11" ht="12.75">
      <c r="D236" t="s">
        <v>1289</v>
      </c>
      <c r="E236" s="254">
        <f>IF(AdmissionSelectionNonAcademicVolunteerWork_1&lt;&gt;"",1,IF(AdmissionSelectionNonAcademicVolunteerWork_2&lt;&gt;"",2,IF(AdmissionSelectionNonAcademicVolunteerWork_3&lt;&gt;"",3,IF(AdmissionSelectionNonAcademicVolunteerWork_4&lt;&gt;"",4,-1))))</f>
        <v>3</v>
      </c>
      <c r="F236"/>
      <c r="G236" s="307" t="s">
        <v>1289</v>
      </c>
      <c r="H236" t="s">
        <v>574</v>
      </c>
      <c r="K236" t="str">
        <f t="shared" si="8"/>
        <v>&lt;AdmissionSelectionNonAcademicVolunteerWork Question="C7"&gt;3&lt;/AdmissionSelectionNonAcademicVolunteerWork&gt;</v>
      </c>
    </row>
    <row r="237" spans="4:11" ht="12.75">
      <c r="D237" t="s">
        <v>1290</v>
      </c>
      <c r="E237" s="254">
        <f>IF(AdmissionSelectionNonAcademicWorkExperience_1&lt;&gt;"",1,IF(AdmissionSelectionNonAcademicWorkExperience_2&lt;&gt;"",2,IF(AdmissionSelectionNonAcademicWorkExperience_3&lt;&gt;"",3,IF(AdmissionSelectionNonAcademicWorkExperience_4&lt;&gt;"",4,-1))))</f>
        <v>3</v>
      </c>
      <c r="F237"/>
      <c r="G237" s="307" t="s">
        <v>1290</v>
      </c>
      <c r="H237" t="s">
        <v>574</v>
      </c>
      <c r="K237" t="str">
        <f t="shared" si="8"/>
        <v>&lt;AdmissionSelectionNonAcademicWorkExperience Question="C7"&gt;3&lt;/AdmissionSelectionNonAcademicWorkExperience&gt;</v>
      </c>
    </row>
    <row r="238" spans="4:11" ht="12.75">
      <c r="D238" t="s">
        <v>1291</v>
      </c>
      <c r="E238" s="254">
        <f>IF(AdmissionSelectionNonAcademicInterestLevel_1&lt;&gt;"",1,IF(AdmissionSelectionNonAcademicInterestLevel_2&lt;&gt;"",2,IF(AdmissionSelectionNonAcademicInterestLevel_3&lt;&gt;"",3,IF(AdmissionSelectionNonAcademicInterestLevel_4&lt;&gt;"",4,-1))))</f>
        <v>4</v>
      </c>
      <c r="F238"/>
      <c r="G238" s="307" t="s">
        <v>1291</v>
      </c>
      <c r="H238" t="s">
        <v>574</v>
      </c>
      <c r="K238" t="str">
        <f t="shared" si="8"/>
        <v>&lt;AdmissionSelectionNonAcademicInterestLevel Question="C7"&gt;4&lt;/AdmissionSelectionNonAcademicInterestLevel&gt;</v>
      </c>
    </row>
    <row r="239" spans="4:11" ht="12.75">
      <c r="D239" t="s">
        <v>1292</v>
      </c>
      <c r="E239" s="254" t="str">
        <f>CLEAN(IF(SATOrACT1&lt;&gt;"",1,IF(SATOrACT2&lt;&gt;"",0,-1)))</f>
        <v>1</v>
      </c>
      <c r="F239"/>
      <c r="G239" s="307" t="s">
        <v>1292</v>
      </c>
      <c r="H239" t="s">
        <v>592</v>
      </c>
      <c r="K239" t="str">
        <f t="shared" si="8"/>
        <v>&lt;SATOrACT Question="C8A"&gt;1&lt;/SATOrACT&gt;</v>
      </c>
    </row>
    <row r="240" spans="4:11" ht="12.75">
      <c r="D240" t="s">
        <v>1293</v>
      </c>
      <c r="E240" s="254">
        <f>IF(SATACTTestPolicySATOrACT_1&lt;&gt;"",1,IF(SATACTTestPolicySATOrACT_2&lt;&gt;"",2,IF(SATACTTestPolicySATOrACT_3&lt;&gt;"",3,IF(SATACTTestPolicySATOrACT_4&lt;&gt;"",4,IF(SATACTTestPolicySATOrACT_5&lt;&gt;"",5,-1)))))</f>
        <v>1</v>
      </c>
      <c r="F240" t="str">
        <f>"=If("&amp;D240&amp;"_1&lt;&gt;"""",1,if("&amp;D240&amp;"_2&lt;&gt;"""",2,if("&amp;D240&amp;"_3&lt;&gt;"""",3,if("&amp;D240&amp;"_4&lt;&gt;"""",4,if("&amp;D240&amp;"_5&lt;&gt;"""",5,-1)))))"</f>
        <v>=If(SATACTTestPolicySATOrACT_1&lt;&gt;"",1,if(SATACTTestPolicySATOrACT_2&lt;&gt;"",2,if(SATACTTestPolicySATOrACT_3&lt;&gt;"",3,if(SATACTTestPolicySATOrACT_4&lt;&gt;"",4,if(SATACTTestPolicySATOrACT_5&lt;&gt;"",5,-1)))))</v>
      </c>
      <c r="G240" s="307" t="s">
        <v>1293</v>
      </c>
      <c r="H240" t="s">
        <v>592</v>
      </c>
      <c r="K240" t="str">
        <f t="shared" si="8"/>
        <v>&lt;SATACTTestPolicySATOrACT Question="C8A"&gt;1&lt;/SATACTTestPolicySATOrACT&gt;</v>
      </c>
    </row>
    <row r="241" spans="4:11" ht="12.75">
      <c r="D241" t="s">
        <v>1294</v>
      </c>
      <c r="E241" s="254">
        <f>IF(SATACTTestPolicyACTOnly_1&lt;&gt;"",1,IF(SATACTTestPolicyACTOnly_2&lt;&gt;"",2,IF(SATACTTestPolicyACTOnly_3&lt;&gt;"",3,IF(SATACTTestPolicyACTOnly_4&lt;&gt;"",4,IF(SATACTTestPolicyACTOnly_5&lt;&gt;"",5,-1)))))</f>
        <v>-1</v>
      </c>
      <c r="F241"/>
      <c r="G241" s="307" t="s">
        <v>1294</v>
      </c>
      <c r="H241" t="s">
        <v>592</v>
      </c>
      <c r="K241" t="str">
        <f aca="true" t="shared" si="9" ref="K241:K303">"&lt;"&amp;G241&amp;" Question="""&amp;H241&amp;"""&gt;"&amp;IF(J241=1,"&lt;![CDATA[","")&amp;E241&amp;IF(J241=1,"]]&gt;","")&amp;"&lt;/"&amp;G241&amp;"&gt;"</f>
        <v>&lt;SATACTTestPolicyACTOnly Question="C8A"&gt;-1&lt;/SATACTTestPolicyACTOnly&gt;</v>
      </c>
    </row>
    <row r="242" spans="4:11" ht="12.75">
      <c r="D242" t="s">
        <v>1296</v>
      </c>
      <c r="E242" s="254">
        <f>IF(SATACTTestPolicySATOnly_1&lt;&gt;"",1,IF(SATACTTestPolicySATOnly_2&lt;&gt;"",2,IF(SATACTTestPolicySATOnly_3&lt;&gt;"",3,IF(SATACTTestPolicySATOnly_4&lt;&gt;"",4,IF(SATACTTestPolicySATOnly_5&lt;&gt;"",5,-1)))))</f>
        <v>-1</v>
      </c>
      <c r="F242"/>
      <c r="G242" s="307" t="s">
        <v>1296</v>
      </c>
      <c r="H242" t="s">
        <v>592</v>
      </c>
      <c r="K242" t="str">
        <f t="shared" si="9"/>
        <v>&lt;SATACTTestPolicySATOnly Question="C8A"&gt;-1&lt;/SATACTTestPolicySATOnly&gt;</v>
      </c>
    </row>
    <row r="243" spans="4:11" ht="12.75">
      <c r="D243" t="s">
        <v>1295</v>
      </c>
      <c r="E243" s="254">
        <f>IF(SATACTTestPolicySATSubjectOrACT_1&lt;&gt;"",1,IF(SATACTTestPolicySATSubjectOrACT_2&lt;&gt;"",2,IF(SATACTTestPolicySATSubjectOrACT_3&lt;&gt;"",3,IF(SATACTTestPolicySATSubjectOrACT_4&lt;&gt;"",4,IF(SATACTTestPolicySATSubjectOrACT_5&lt;&gt;"",5,-1)))))</f>
        <v>-1</v>
      </c>
      <c r="F243"/>
      <c r="G243" s="307" t="s">
        <v>1295</v>
      </c>
      <c r="H243" t="s">
        <v>592</v>
      </c>
      <c r="K243" t="str">
        <f t="shared" si="9"/>
        <v>&lt;SATACTTestPolicySATSubjectOrACT Question="C8A"&gt;-1&lt;/SATACTTestPolicySATSubjectOrACT&gt;</v>
      </c>
    </row>
    <row r="244" spans="4:11" ht="12.75">
      <c r="D244" t="s">
        <v>1297</v>
      </c>
      <c r="E244" s="254">
        <f>IF(SATACTTestPolicySATSubjectOnly_1&lt;&gt;"",1,IF(SATACTTestPolicySATSubjectOnly_2&lt;&gt;"",2,IF(SATACTTestPolicySATSubjectOnly_3&lt;&gt;"",3,IF(SATACTTestPolicySATSubjectOnly_4&lt;&gt;"",4,IF(SATACTTestPolicySATSubjectOnly_5&lt;&gt;"",5,-1)))))</f>
        <v>4</v>
      </c>
      <c r="F244"/>
      <c r="G244" s="307" t="s">
        <v>1297</v>
      </c>
      <c r="H244" t="s">
        <v>592</v>
      </c>
      <c r="K244" t="str">
        <f t="shared" si="9"/>
        <v>&lt;SATACTTestPolicySATSubjectOnly Question="C8A"&gt;4&lt;/SATACTTestPolicySATSubjectOnly&gt;</v>
      </c>
    </row>
    <row r="245" spans="4:11" ht="12.75">
      <c r="D245" t="s">
        <v>1238</v>
      </c>
      <c r="E245" s="254">
        <f>IF(ACTTestPolicyWriting_1&lt;&gt;"",1,IF(ACTTestPolicyWriting_2&lt;&gt;"",2,IF(ACTTestPolicyWriting_3&lt;&gt;"",3,-1)))</f>
        <v>3</v>
      </c>
      <c r="F245" t="str">
        <f>"=If("&amp;D245&amp;"_1&lt;&gt;"""",1,if("&amp;D245&amp;"_2&lt;&gt;"""",2,if("&amp;D245&amp;"_3&lt;&gt;"""",3,-1)))"</f>
        <v>=If(ACTTestPolicyWriting_1&lt;&gt;"",1,if(ACTTestPolicyWriting_2&lt;&gt;"",2,if(ACTTestPolicyWriting_3&lt;&gt;"",3,-1)))</v>
      </c>
      <c r="G245" s="307" t="s">
        <v>1238</v>
      </c>
      <c r="H245" t="s">
        <v>174</v>
      </c>
      <c r="K245" t="str">
        <f t="shared" si="9"/>
        <v>&lt;ACTTestPolicyWriting Question="C8B"&gt;3&lt;/ACTTestPolicyWriting&gt;</v>
      </c>
    </row>
    <row r="246" spans="4:11" ht="12.75">
      <c r="D246" t="s">
        <v>998</v>
      </c>
      <c r="E246" s="254" t="str">
        <f>IF(SATACTWritingComponentUseForAdmissions&lt;&gt;"","True","False")</f>
        <v>True</v>
      </c>
      <c r="F246"/>
      <c r="G246" s="307" t="s">
        <v>998</v>
      </c>
      <c r="H246" t="s">
        <v>131</v>
      </c>
      <c r="K246" t="str">
        <f t="shared" si="9"/>
        <v>&lt;SATACTWritingComponentUseForAdmissions Question="C8C"&gt;True&lt;/SATACTWritingComponentUseForAdmissions&gt;</v>
      </c>
    </row>
    <row r="247" spans="4:11" ht="12.75">
      <c r="D247" t="s">
        <v>49</v>
      </c>
      <c r="E247" s="254" t="str">
        <f>IF(SATACTWritingComponentUseForPlacement&lt;&gt;"","True","False")</f>
        <v>False</v>
      </c>
      <c r="F247"/>
      <c r="G247" s="307" t="s">
        <v>49</v>
      </c>
      <c r="H247" t="s">
        <v>131</v>
      </c>
      <c r="K247" t="str">
        <f t="shared" si="9"/>
        <v>&lt;SATACTWritingComponentUseForPlacement Question="C8C"&gt;False&lt;/SATACTWritingComponentUseForPlacement&gt;</v>
      </c>
    </row>
    <row r="248" spans="4:11" ht="12.75">
      <c r="D248" t="s">
        <v>999</v>
      </c>
      <c r="E248" s="254" t="str">
        <f>IF(SATACTWritingComponentUseForAdvising&lt;&gt;"","True","False")</f>
        <v>False</v>
      </c>
      <c r="F248"/>
      <c r="G248" s="307" t="s">
        <v>999</v>
      </c>
      <c r="H248" t="s">
        <v>131</v>
      </c>
      <c r="K248" t="str">
        <f t="shared" si="9"/>
        <v>&lt;SATACTWritingComponentUseForAdvising Question="C8C"&gt;False&lt;/SATACTWritingComponentUseForAdvising&gt;</v>
      </c>
    </row>
    <row r="249" spans="4:11" ht="12.75">
      <c r="D249" t="s">
        <v>1000</v>
      </c>
      <c r="E249" s="254" t="str">
        <f>IF(SATACTWritingComponentUseInPlaceOfEssay&lt;&gt;"","True","False")</f>
        <v>False</v>
      </c>
      <c r="F249"/>
      <c r="G249" s="307" t="s">
        <v>1000</v>
      </c>
      <c r="H249" t="s">
        <v>131</v>
      </c>
      <c r="K249" t="str">
        <f t="shared" si="9"/>
        <v>&lt;SATACTWritingComponentUseInPlaceOfEssay Question="C8C"&gt;False&lt;/SATACTWritingComponentUseInPlaceOfEssay&gt;</v>
      </c>
    </row>
    <row r="250" spans="4:11" ht="12.75">
      <c r="D250" t="s">
        <v>1001</v>
      </c>
      <c r="E250" s="254" t="str">
        <f>IF(SATACTWritingComponentUseEssayValidityCheck&lt;&gt;"","True","False")</f>
        <v>False</v>
      </c>
      <c r="F250"/>
      <c r="G250" s="307" t="s">
        <v>1001</v>
      </c>
      <c r="H250" t="s">
        <v>131</v>
      </c>
      <c r="K250" t="str">
        <f t="shared" si="9"/>
        <v>&lt;SATACTWritingComponentUseEssayValidityCheck Question="C8C"&gt;False&lt;/SATACTWritingComponentUseEssayValidityCheck&gt;</v>
      </c>
    </row>
    <row r="251" spans="4:11" ht="12.75">
      <c r="D251" t="s">
        <v>1002</v>
      </c>
      <c r="E251" s="254" t="str">
        <f>IF(SATACTWritingComponentUseEssayNoPolicy&lt;&gt;"","True","False")</f>
        <v>False</v>
      </c>
      <c r="F251"/>
      <c r="G251" s="307" t="s">
        <v>1002</v>
      </c>
      <c r="H251" t="s">
        <v>131</v>
      </c>
      <c r="K251" t="str">
        <f t="shared" si="9"/>
        <v>&lt;SATACTWritingComponentUseEssayNoPolicy Question="C8C"&gt;False&lt;/SATACTWritingComponentUseEssayNoPolicy&gt;</v>
      </c>
    </row>
    <row r="252" spans="4:11" ht="12.75">
      <c r="D252" t="s">
        <v>1003</v>
      </c>
      <c r="E252" s="254" t="str">
        <f>IF(SATACTWritingComponentUseNone&lt;&gt;"","True","False")</f>
        <v>False</v>
      </c>
      <c r="F252"/>
      <c r="G252" s="307" t="s">
        <v>1003</v>
      </c>
      <c r="H252" t="s">
        <v>131</v>
      </c>
      <c r="K252" t="str">
        <f t="shared" si="9"/>
        <v>&lt;SATACTWritingComponentUseNone Question="C8C"&gt;False&lt;/SATACTWritingComponentUseNone&gt;</v>
      </c>
    </row>
    <row r="253" spans="4:11" ht="12.75">
      <c r="D253" t="s">
        <v>1407</v>
      </c>
      <c r="E253" s="254">
        <f>IF(SATACTUsedForAcademicAdvising1&lt;&gt;"",1,IF(SATACTUsedForAcademicAdvising2&lt;&gt;"",0,-1))</f>
        <v>1</v>
      </c>
      <c r="F253"/>
      <c r="G253" s="307" t="s">
        <v>1407</v>
      </c>
      <c r="H253" t="s">
        <v>132</v>
      </c>
      <c r="K253" t="str">
        <f t="shared" si="9"/>
        <v>&lt;SATACTUsedForAcademicAdvising Question="C8D"&gt;1&lt;/SATACTUsedForAcademicAdvising&gt;</v>
      </c>
    </row>
    <row r="254" spans="4:11" ht="12.75">
      <c r="D254" t="s">
        <v>1408</v>
      </c>
      <c r="E254" s="278" t="str">
        <f>IF(SATACTDeadline&gt;0,MONTH(SATACTDeadline)&amp;"/"&amp;DAY(SATACTDeadline),"-1")</f>
        <v>3/1</v>
      </c>
      <c r="F254" t="str">
        <f>"=IF("&amp;D254&amp;"&gt;0,MONTH("&amp;D254&amp;")&amp;""/""&amp;DAY("&amp;D254&amp;"),""-1"")"</f>
        <v>=IF(SATACTDeadline&gt;0,MONTH(SATACTDeadline)&amp;"/"&amp;DAY(SATACTDeadline),"-1")</v>
      </c>
      <c r="G254" s="309" t="s">
        <v>1408</v>
      </c>
      <c r="H254" t="s">
        <v>419</v>
      </c>
      <c r="K254" t="str">
        <f t="shared" si="9"/>
        <v>&lt;SATACTDeadline Question="C8E"&gt;3/1&lt;/SATACTDeadline&gt;</v>
      </c>
    </row>
    <row r="255" spans="4:11" ht="12.75">
      <c r="D255" t="s">
        <v>1409</v>
      </c>
      <c r="E255" s="278" t="str">
        <f>IF(SATSubjectDeadline&gt;0,MONTH(SATSubjectDeadline)&amp;"/"&amp;DAY(SATSubjectDeadline),"-1")</f>
        <v>3/1</v>
      </c>
      <c r="F255"/>
      <c r="G255" s="309" t="s">
        <v>1409</v>
      </c>
      <c r="H255" t="s">
        <v>419</v>
      </c>
      <c r="K255" t="str">
        <f t="shared" si="9"/>
        <v>&lt;SATSubjectDeadline Question="C8E"&gt;3/1&lt;/SATSubjectDeadline&gt;</v>
      </c>
    </row>
    <row r="256" spans="4:11" ht="12.75">
      <c r="D256" t="s">
        <v>1410</v>
      </c>
      <c r="E256" s="254">
        <f>CLEAN(SATACTPolicyClarify)</f>
      </c>
      <c r="F256"/>
      <c r="G256" s="307" t="s">
        <v>1410</v>
      </c>
      <c r="H256" t="s">
        <v>421</v>
      </c>
      <c r="J256">
        <v>1</v>
      </c>
      <c r="K256" t="str">
        <f t="shared" si="9"/>
        <v>&lt;SATACTPolicyClarify Question="C8F"&gt;&lt;![CDATA[]]&gt;&lt;/SATACTPolicyClarify&gt;</v>
      </c>
    </row>
    <row r="257" spans="4:11" ht="12.75">
      <c r="D257" t="s">
        <v>1412</v>
      </c>
      <c r="E257" s="254" t="str">
        <f>IF(TestForPlacementSAT&lt;&gt;"","True","False")</f>
        <v>False</v>
      </c>
      <c r="F257" t="str">
        <f>"=if("&amp;D257&amp;"&lt;&gt;"""",""True"",""False"")"</f>
        <v>=if(TestForPlacementSAT&lt;&gt;"","True","False")</v>
      </c>
      <c r="G257" s="307" t="s">
        <v>1412</v>
      </c>
      <c r="H257" t="s">
        <v>436</v>
      </c>
      <c r="K257" t="str">
        <f t="shared" si="9"/>
        <v>&lt;TestForPlacementSAT Question="C8G"&gt;False&lt;/TestForPlacementSAT&gt;</v>
      </c>
    </row>
    <row r="258" spans="4:11" ht="12.75">
      <c r="D258" t="s">
        <v>1413</v>
      </c>
      <c r="E258" s="254" t="str">
        <f>IF(TestForPlacementACT&lt;&gt;"","True","False")</f>
        <v>False</v>
      </c>
      <c r="F258"/>
      <c r="G258" s="307" t="s">
        <v>1413</v>
      </c>
      <c r="H258" t="s">
        <v>436</v>
      </c>
      <c r="K258" t="str">
        <f t="shared" si="9"/>
        <v>&lt;TestForPlacementACT Question="C8G"&gt;False&lt;/TestForPlacementACT&gt;</v>
      </c>
    </row>
    <row r="259" spans="4:11" ht="12.75">
      <c r="D259" t="s">
        <v>1414</v>
      </c>
      <c r="E259" s="254" t="str">
        <f>IF(TestForPlacementSATSubject&lt;&gt;"","True","False")</f>
        <v>False</v>
      </c>
      <c r="F259"/>
      <c r="G259" s="307" t="s">
        <v>1414</v>
      </c>
      <c r="H259" t="s">
        <v>436</v>
      </c>
      <c r="K259" t="str">
        <f t="shared" si="9"/>
        <v>&lt;TestForPlacementSATSubject Question="C8G"&gt;False&lt;/TestForPlacementSATSubject&gt;</v>
      </c>
    </row>
    <row r="260" spans="4:11" ht="12.75">
      <c r="D260" t="s">
        <v>1415</v>
      </c>
      <c r="E260" s="254" t="str">
        <f>IF(TestForPlacementAP&lt;&gt;"","True","False")</f>
        <v>True</v>
      </c>
      <c r="F260"/>
      <c r="G260" s="307" t="s">
        <v>1415</v>
      </c>
      <c r="H260" t="s">
        <v>436</v>
      </c>
      <c r="K260" t="str">
        <f t="shared" si="9"/>
        <v>&lt;TestForPlacementAP Question="C8G"&gt;True&lt;/TestForPlacementAP&gt;</v>
      </c>
    </row>
    <row r="261" spans="4:11" ht="12.75">
      <c r="D261" t="s">
        <v>1416</v>
      </c>
      <c r="E261" s="254" t="str">
        <f>IF(TestForPlacementCLEP&lt;&gt;"","True","False")</f>
        <v>False</v>
      </c>
      <c r="F261"/>
      <c r="G261" s="307" t="s">
        <v>1416</v>
      </c>
      <c r="H261" t="s">
        <v>436</v>
      </c>
      <c r="K261" t="str">
        <f t="shared" si="9"/>
        <v>&lt;TestForPlacementCLEP Question="C8G"&gt;False&lt;/TestForPlacementCLEP&gt;</v>
      </c>
    </row>
    <row r="262" spans="4:11" ht="12.75">
      <c r="D262" t="s">
        <v>1417</v>
      </c>
      <c r="E262" s="254" t="str">
        <f>IF(TestForPlacementInstitutional&lt;&gt;"","True","False")</f>
        <v>False</v>
      </c>
      <c r="F262"/>
      <c r="G262" s="307" t="s">
        <v>1417</v>
      </c>
      <c r="H262" t="s">
        <v>436</v>
      </c>
      <c r="K262" t="str">
        <f t="shared" si="9"/>
        <v>&lt;TestForPlacementInstitutional Question="C8G"&gt;False&lt;/TestForPlacementInstitutional&gt;</v>
      </c>
    </row>
    <row r="263" spans="4:11" ht="12.75">
      <c r="D263" t="s">
        <v>1418</v>
      </c>
      <c r="E263" s="254">
        <f>CLEAN(TestForPlacementStateExam)</f>
      </c>
      <c r="F263"/>
      <c r="G263" s="307" t="s">
        <v>1418</v>
      </c>
      <c r="H263" t="s">
        <v>436</v>
      </c>
      <c r="J263">
        <v>1</v>
      </c>
      <c r="K263" t="str">
        <f t="shared" si="9"/>
        <v>&lt;TestForPlacementStateExam Question="C8G"&gt;&lt;![CDATA[]]&gt;&lt;/TestForPlacementStateExam&gt;</v>
      </c>
    </row>
    <row r="264" spans="4:11" ht="12.75">
      <c r="D264" t="s">
        <v>1419</v>
      </c>
      <c r="E264" s="268">
        <f>IF(SATSubmissionPercent&lt;&gt;"",SATSubmissionPercent*100,"-1")</f>
        <v>95.61664190193166</v>
      </c>
      <c r="F264" t="str">
        <f>"=IF("&amp;D264&amp;"&lt;&gt;"""","&amp;D264&amp;"*100,""-1"")"</f>
        <v>=IF(SATSubmissionPercent&lt;&gt;"",SATSubmissionPercent*100,"-1")</v>
      </c>
      <c r="G264" s="310" t="s">
        <v>1419</v>
      </c>
      <c r="H264" t="s">
        <v>576</v>
      </c>
      <c r="K264" t="str">
        <f t="shared" si="9"/>
        <v>&lt;SATSubmissionPercent Question="C9"&gt;95.6166419019317&lt;/SATSubmissionPercent&gt;</v>
      </c>
    </row>
    <row r="265" spans="4:11" ht="12.75">
      <c r="D265" t="s">
        <v>1420</v>
      </c>
      <c r="E265" s="269">
        <f>IF(SATSubmissionNumber&lt;&gt;"",SATSubmissionNumber,"-1")</f>
        <v>1287</v>
      </c>
      <c r="F265" t="str">
        <f>"=IF("&amp;D265&amp;"&lt;&gt;"""","&amp;D265&amp;",""-1"")"</f>
        <v>=IF(SATSubmissionNumber&lt;&gt;"",SATSubmissionNumber,"-1")</v>
      </c>
      <c r="G265" s="311" t="s">
        <v>1420</v>
      </c>
      <c r="H265" t="s">
        <v>576</v>
      </c>
      <c r="K265" t="str">
        <f t="shared" si="9"/>
        <v>&lt;SATSubmissionNumber Question="C9"&gt;1287&lt;/SATSubmissionNumber&gt;</v>
      </c>
    </row>
    <row r="266" spans="4:11" ht="12.75">
      <c r="D266" t="s">
        <v>1421</v>
      </c>
      <c r="E266" s="268">
        <f>IF(ACTSubmissionPercent&lt;&gt;"",ACTSubmissionPercent*100,"-1")</f>
        <v>4.38335809806835</v>
      </c>
      <c r="F266" t="str">
        <f>"=IF("&amp;D266&amp;"&lt;&gt;"""","&amp;D266&amp;"*100,""-1"")"</f>
        <v>=IF(ACTSubmissionPercent&lt;&gt;"",ACTSubmissionPercent*100,"-1")</v>
      </c>
      <c r="G266" s="310" t="s">
        <v>1421</v>
      </c>
      <c r="H266" t="s">
        <v>576</v>
      </c>
      <c r="K266" t="str">
        <f t="shared" si="9"/>
        <v>&lt;ACTSubmissionPercent Question="C9"&gt;4.38335809806835&lt;/ACTSubmissionPercent&gt;</v>
      </c>
    </row>
    <row r="267" spans="4:11" ht="12.75">
      <c r="D267" t="s">
        <v>1422</v>
      </c>
      <c r="E267" s="269">
        <f>IF(ACTSubmissionNumber&lt;&gt;"",ACTSubmissionNumber,"-1")</f>
        <v>59</v>
      </c>
      <c r="F267" t="str">
        <f>"=IF("&amp;D267&amp;"&lt;&gt;"""","&amp;D267&amp;",""-1"")"</f>
        <v>=IF(ACTSubmissionNumber&lt;&gt;"",ACTSubmissionNumber,"-1")</v>
      </c>
      <c r="G267" s="311" t="s">
        <v>1422</v>
      </c>
      <c r="H267" t="s">
        <v>576</v>
      </c>
      <c r="K267" t="str">
        <f t="shared" si="9"/>
        <v>&lt;ACTSubmissionNumber Question="C9"&gt;59&lt;/ACTSubmissionNumber&gt;</v>
      </c>
    </row>
    <row r="268" spans="4:11" ht="12.75">
      <c r="D268" t="s">
        <v>1423</v>
      </c>
      <c r="E268" s="269">
        <f>IF(TestScoresSATCriticalReading25thPercentile&lt;&gt;"",TestScoresSATCriticalReading25thPercentile,"-1")</f>
        <v>630</v>
      </c>
      <c r="F268" t="str">
        <f>"=IF("&amp;D268&amp;"&lt;&gt;"""","&amp;D268&amp;",""-1"")"</f>
        <v>=IF(TestScoresSATCriticalReading25thPercentile&lt;&gt;"",TestScoresSATCriticalReading25thPercentile,"-1")</v>
      </c>
      <c r="G268" s="307" t="s">
        <v>1423</v>
      </c>
      <c r="H268" t="s">
        <v>576</v>
      </c>
      <c r="K268" t="str">
        <f t="shared" si="9"/>
        <v>&lt;TestScoresSATCriticalReading25thPercentile Question="C9"&gt;630&lt;/TestScoresSATCriticalReading25thPercentile&gt;</v>
      </c>
    </row>
    <row r="269" spans="4:11" ht="12.75">
      <c r="D269" t="s">
        <v>1424</v>
      </c>
      <c r="E269" s="269">
        <f>IF(TestScoresSATCriticalReading75thPercentile&lt;&gt;"",TestScoresSATCriticalReading75thPercentile,"-1")</f>
        <v>740</v>
      </c>
      <c r="F269"/>
      <c r="G269" s="307" t="s">
        <v>1424</v>
      </c>
      <c r="H269" t="s">
        <v>576</v>
      </c>
      <c r="K269" t="str">
        <f t="shared" si="9"/>
        <v>&lt;TestScoresSATCriticalReading75thPercentile Question="C9"&gt;740&lt;/TestScoresSATCriticalReading75thPercentile&gt;</v>
      </c>
    </row>
    <row r="270" spans="4:11" ht="12.75">
      <c r="D270" t="s">
        <v>1425</v>
      </c>
      <c r="E270" s="269">
        <f>IF(TestScoresSATMath25thPercentile&lt;&gt;"",TestScoresSATMath25thPercentile,"-1")</f>
        <v>620</v>
      </c>
      <c r="F270"/>
      <c r="G270" s="307" t="s">
        <v>1425</v>
      </c>
      <c r="H270" t="s">
        <v>576</v>
      </c>
      <c r="K270" t="str">
        <f t="shared" si="9"/>
        <v>&lt;TestScoresSATMath25thPercentile Question="C9"&gt;620&lt;/TestScoresSATMath25thPercentile&gt;</v>
      </c>
    </row>
    <row r="271" spans="4:11" ht="12.75">
      <c r="D271" t="s">
        <v>1426</v>
      </c>
      <c r="E271" s="269">
        <f>IF(TestScoresSATMath75thPercentile&lt;&gt;"",TestScoresSATMath75thPercentile,"-1")</f>
        <v>710</v>
      </c>
      <c r="F271"/>
      <c r="G271" s="307" t="s">
        <v>1426</v>
      </c>
      <c r="H271" t="s">
        <v>576</v>
      </c>
      <c r="K271" t="str">
        <f t="shared" si="9"/>
        <v>&lt;TestScoresSATMath75thPercentile Question="C9"&gt;710&lt;/TestScoresSATMath75thPercentile&gt;</v>
      </c>
    </row>
    <row r="272" spans="4:11" ht="12.75">
      <c r="D272" t="s">
        <v>1427</v>
      </c>
      <c r="E272" s="269">
        <f>IF(TestScoresSATWriting25thPercentile&lt;&gt;"",TestScoresSATWriting25thPercentile,"-1")</f>
        <v>620</v>
      </c>
      <c r="F272"/>
      <c r="G272" s="307" t="s">
        <v>1427</v>
      </c>
      <c r="H272" t="s">
        <v>576</v>
      </c>
      <c r="K272" t="str">
        <f t="shared" si="9"/>
        <v>&lt;TestScoresSATWriting25thPercentile Question="C9"&gt;620&lt;/TestScoresSATWriting25thPercentile&gt;</v>
      </c>
    </row>
    <row r="273" spans="4:11" ht="12.75">
      <c r="D273" t="s">
        <v>1428</v>
      </c>
      <c r="E273" s="269">
        <f>IF(TestScoresSATWriting75thPercentile&lt;&gt;"",TestScoresSATWriting75thPercentile,"-1")</f>
        <v>710</v>
      </c>
      <c r="F273"/>
      <c r="G273" s="307" t="s">
        <v>1428</v>
      </c>
      <c r="H273" t="s">
        <v>576</v>
      </c>
      <c r="K273" t="str">
        <f t="shared" si="9"/>
        <v>&lt;TestScoresSATWriting75thPercentile Question="C9"&gt;710&lt;/TestScoresSATWriting75thPercentile&gt;</v>
      </c>
    </row>
    <row r="274" spans="4:11" ht="12.75">
      <c r="D274" t="s">
        <v>1429</v>
      </c>
      <c r="E274" s="269" t="str">
        <f>IF(TestScoresSATEssay25thPercentile&lt;&gt;"",TestScoresSATEssay25thPercentile,"-1")</f>
        <v>-1</v>
      </c>
      <c r="F274"/>
      <c r="G274" s="307" t="s">
        <v>1429</v>
      </c>
      <c r="H274" t="s">
        <v>576</v>
      </c>
      <c r="K274" t="str">
        <f t="shared" si="9"/>
        <v>&lt;TestScoresSATEssay25thPercentile Question="C9"&gt;-1&lt;/TestScoresSATEssay25thPercentile&gt;</v>
      </c>
    </row>
    <row r="275" spans="4:11" ht="12.75">
      <c r="D275" t="s">
        <v>1430</v>
      </c>
      <c r="E275" s="269" t="str">
        <f>IF(TestScoresSATEssay75thPercentile&lt;&gt;"",TestScoresSATEssay75thPercentile,"-1")</f>
        <v>-1</v>
      </c>
      <c r="F275"/>
      <c r="G275" s="307" t="s">
        <v>1430</v>
      </c>
      <c r="H275" t="s">
        <v>576</v>
      </c>
      <c r="K275" t="str">
        <f t="shared" si="9"/>
        <v>&lt;TestScoresSATEssay75thPercentile Question="C9"&gt;-1&lt;/TestScoresSATEssay75thPercentile&gt;</v>
      </c>
    </row>
    <row r="276" spans="4:11" ht="12.75">
      <c r="D276" t="s">
        <v>1431</v>
      </c>
      <c r="E276" s="269">
        <f>IF(TestScoresACTComposite25thPercentile&lt;&gt;"",TestScoresACTComposite25thPercentile,"-1")</f>
        <v>27</v>
      </c>
      <c r="F276"/>
      <c r="G276" s="307" t="s">
        <v>1431</v>
      </c>
      <c r="H276" t="s">
        <v>576</v>
      </c>
      <c r="K276" t="str">
        <f t="shared" si="9"/>
        <v>&lt;TestScoresACTComposite25thPercentile Question="C9"&gt;27&lt;/TestScoresACTComposite25thPercentile&gt;</v>
      </c>
    </row>
    <row r="277" spans="4:11" ht="12.75">
      <c r="D277" t="s">
        <v>1432</v>
      </c>
      <c r="E277" s="269">
        <f>IF(TestScoresACTComposite75thPercentile&lt;&gt;"",TestScoresACTComposite75thPercentile,"-1")</f>
        <v>32</v>
      </c>
      <c r="F277"/>
      <c r="G277" s="307" t="s">
        <v>1432</v>
      </c>
      <c r="H277" t="s">
        <v>576</v>
      </c>
      <c r="K277" t="str">
        <f t="shared" si="9"/>
        <v>&lt;TestScoresACTComposite75thPercentile Question="C9"&gt;32&lt;/TestScoresACTComposite75thPercentile&gt;</v>
      </c>
    </row>
    <row r="278" spans="4:11" ht="12.75">
      <c r="D278" t="s">
        <v>1433</v>
      </c>
      <c r="E278" s="269">
        <f>IF(TestScoresACTMath25thPercentile&lt;&gt;"",TestScoresACTMath25thPercentile,"-1")</f>
        <v>26</v>
      </c>
      <c r="F278"/>
      <c r="G278" s="307" t="s">
        <v>1433</v>
      </c>
      <c r="H278" t="s">
        <v>576</v>
      </c>
      <c r="K278" t="str">
        <f t="shared" si="9"/>
        <v>&lt;TestScoresACTMath25thPercentile Question="C9"&gt;26&lt;/TestScoresACTMath25thPercentile&gt;</v>
      </c>
    </row>
    <row r="279" spans="4:11" ht="12.75">
      <c r="D279" t="s">
        <v>1434</v>
      </c>
      <c r="E279" s="269">
        <f>IF(TestScoresACTMath75thPercentile&lt;&gt;"",TestScoresACTMath75thPercentile,"-1")</f>
        <v>30</v>
      </c>
      <c r="F279"/>
      <c r="G279" s="307" t="s">
        <v>1434</v>
      </c>
      <c r="H279" t="s">
        <v>576</v>
      </c>
      <c r="K279" t="str">
        <f t="shared" si="9"/>
        <v>&lt;TestScoresACTMath75thPercentile Question="C9"&gt;30&lt;/TestScoresACTMath75thPercentile&gt;</v>
      </c>
    </row>
    <row r="280" spans="4:11" ht="12.75">
      <c r="D280" t="s">
        <v>1435</v>
      </c>
      <c r="E280" s="269">
        <f>IF(TestScoresACTEnglish25thPercentile&lt;&gt;"",TestScoresACTEnglish25thPercentile,"-1")</f>
        <v>27</v>
      </c>
      <c r="F280"/>
      <c r="G280" s="307" t="s">
        <v>1435</v>
      </c>
      <c r="H280" t="s">
        <v>576</v>
      </c>
      <c r="K280" t="str">
        <f t="shared" si="9"/>
        <v>&lt;TestScoresACTEnglish25thPercentile Question="C9"&gt;27&lt;/TestScoresACTEnglish25thPercentile&gt;</v>
      </c>
    </row>
    <row r="281" spans="4:11" ht="12.75">
      <c r="D281" t="s">
        <v>1436</v>
      </c>
      <c r="E281" s="269">
        <f>IF(TestScoresACTEnglish75thPercentile&lt;&gt;"",TestScoresACTEnglish75thPercentile,"-1")</f>
        <v>33</v>
      </c>
      <c r="F281"/>
      <c r="G281" s="307" t="s">
        <v>1436</v>
      </c>
      <c r="H281" t="s">
        <v>576</v>
      </c>
      <c r="K281" t="str">
        <f t="shared" si="9"/>
        <v>&lt;TestScoresACTEnglish75thPercentile Question="C9"&gt;33&lt;/TestScoresACTEnglish75thPercentile&gt;</v>
      </c>
    </row>
    <row r="282" spans="4:11" ht="12.75">
      <c r="D282" t="s">
        <v>1437</v>
      </c>
      <c r="E282" s="269" t="str">
        <f>IF(TestScoresACTWriting25thPercentile&lt;&gt;"",TestScoresACTWriting25thPercentile,"-1")</f>
        <v>-1</v>
      </c>
      <c r="F282"/>
      <c r="G282" s="307" t="s">
        <v>1437</v>
      </c>
      <c r="H282" t="s">
        <v>576</v>
      </c>
      <c r="K282" t="str">
        <f t="shared" si="9"/>
        <v>&lt;TestScoresACTWriting25thPercentile Question="C9"&gt;-1&lt;/TestScoresACTWriting25thPercentile&gt;</v>
      </c>
    </row>
    <row r="283" spans="4:11" ht="12.75">
      <c r="D283" t="s">
        <v>904</v>
      </c>
      <c r="E283" s="269" t="str">
        <f>IF(TestScoresACTWriting75thPercentile&lt;&gt;"",TestScoresACTWriting75thPercentile,"-1")</f>
        <v>-1</v>
      </c>
      <c r="F283"/>
      <c r="G283" s="307" t="s">
        <v>904</v>
      </c>
      <c r="H283" t="s">
        <v>576</v>
      </c>
      <c r="K283" t="str">
        <f t="shared" si="9"/>
        <v>&lt;TestScoresACTWriting75thPercentile Question="C9"&gt;-1&lt;/TestScoresACTWriting75thPercentile&gt;</v>
      </c>
    </row>
    <row r="284" spans="4:11" ht="12.75">
      <c r="D284" t="s">
        <v>905</v>
      </c>
      <c r="E284" s="268">
        <f>IF(FreshmanSATScoresByRangeCriticalReading700_800&lt;&gt;"",FreshmanSATScoresByRangeCriticalReading700_800*100,"-1")</f>
        <v>45.22</v>
      </c>
      <c r="F284" t="str">
        <f>"=if("&amp;D284&amp;"&lt;&gt;"""","&amp;D284&amp;"*100,""-1"")"</f>
        <v>=if(FreshmanSATScoresByRangeCriticalReading700_800&lt;&gt;"",FreshmanSATScoresByRangeCriticalReading700_800*100,"-1")</v>
      </c>
      <c r="G284" s="308" t="s">
        <v>905</v>
      </c>
      <c r="H284" t="s">
        <v>576</v>
      </c>
      <c r="K284" t="str">
        <f t="shared" si="9"/>
        <v>&lt;FreshmanSATScoresByRangeCriticalReading700_800 Question="C9"&gt;45.22&lt;/FreshmanSATScoresByRangeCriticalReading700_800&gt;</v>
      </c>
    </row>
    <row r="285" spans="4:11" ht="12.75">
      <c r="D285" t="s">
        <v>906</v>
      </c>
      <c r="E285" s="268">
        <f>IF(FreshmanSATScoresByRangeMath700_800&lt;&gt;"",FreshmanSATScoresByRangeMath700_800*100,"-1")</f>
        <v>32.17</v>
      </c>
      <c r="F285"/>
      <c r="G285" s="308" t="s">
        <v>906</v>
      </c>
      <c r="H285" t="s">
        <v>576</v>
      </c>
      <c r="K285" t="str">
        <f t="shared" si="9"/>
        <v>&lt;FreshmanSATScoresByRangeMath700_800 Question="C9"&gt;32.17&lt;/FreshmanSATScoresByRangeMath700_800&gt;</v>
      </c>
    </row>
    <row r="286" spans="4:11" ht="12.75">
      <c r="D286" t="s">
        <v>907</v>
      </c>
      <c r="E286" s="268">
        <f>IF(FreshmanSATScoresByRangeWriting700_800&lt;&gt;"",FreshmanSATScoresByRangeWriting700_800*100,"-1")</f>
        <v>35.9</v>
      </c>
      <c r="F286"/>
      <c r="G286" s="308" t="s">
        <v>907</v>
      </c>
      <c r="H286" t="s">
        <v>576</v>
      </c>
      <c r="K286" t="str">
        <f t="shared" si="9"/>
        <v>&lt;FreshmanSATScoresByRangeWriting700_800 Question="C9"&gt;35.9&lt;/FreshmanSATScoresByRangeWriting700_800&gt;</v>
      </c>
    </row>
    <row r="287" spans="4:11" ht="12.75">
      <c r="D287" t="s">
        <v>911</v>
      </c>
      <c r="E287" s="268">
        <f>IF(FreshmanSATScoresByRangeCriticalReading600_699&lt;&gt;"",FreshmanSATScoresByRangeCriticalReading600_699*100,"-1")</f>
        <v>39.7</v>
      </c>
      <c r="F287"/>
      <c r="G287" s="308" t="s">
        <v>911</v>
      </c>
      <c r="H287" t="s">
        <v>576</v>
      </c>
      <c r="K287" t="str">
        <f t="shared" si="9"/>
        <v>&lt;FreshmanSATScoresByRangeCriticalReading600_699 Question="C9"&gt;39.7&lt;/FreshmanSATScoresByRangeCriticalReading600_699&gt;</v>
      </c>
    </row>
    <row r="288" spans="4:11" ht="12.75">
      <c r="D288" t="s">
        <v>912</v>
      </c>
      <c r="E288" s="268">
        <f>IF(FreshmanSATScoresByRangeMath600_699&lt;&gt;"",FreshmanSATScoresByRangeMath600_699*100,"-1")</f>
        <v>51.28</v>
      </c>
      <c r="F288"/>
      <c r="G288" s="308" t="s">
        <v>912</v>
      </c>
      <c r="H288" t="s">
        <v>576</v>
      </c>
      <c r="K288" t="str">
        <f t="shared" si="9"/>
        <v>&lt;FreshmanSATScoresByRangeMath600_699 Question="C9"&gt;51.28&lt;/FreshmanSATScoresByRangeMath600_699&gt;</v>
      </c>
    </row>
    <row r="289" spans="4:11" ht="12.75">
      <c r="D289" t="s">
        <v>913</v>
      </c>
      <c r="E289" s="268">
        <f>IF(FreshmanSATScoresByRangeWriting600_699&lt;&gt;"",FreshmanSATScoresByRangeWriting600_699*100,"-1")</f>
        <v>46.62</v>
      </c>
      <c r="F289"/>
      <c r="G289" s="308" t="s">
        <v>913</v>
      </c>
      <c r="H289" t="s">
        <v>576</v>
      </c>
      <c r="K289" t="str">
        <f t="shared" si="9"/>
        <v>&lt;FreshmanSATScoresByRangeWriting600_699 Question="C9"&gt;46.62&lt;/FreshmanSATScoresByRangeWriting600_699&gt;</v>
      </c>
    </row>
    <row r="290" spans="4:11" ht="12.75">
      <c r="D290" t="s">
        <v>914</v>
      </c>
      <c r="E290" s="268">
        <f>IF(FreshmanSATScoresByRangeCriticalReading500_599&lt;&gt;"",FreshmanSATScoresByRangeCriticalReading500_599*100,"-1")</f>
        <v>13.209999999999999</v>
      </c>
      <c r="F290"/>
      <c r="G290" s="308" t="s">
        <v>914</v>
      </c>
      <c r="H290" t="s">
        <v>576</v>
      </c>
      <c r="K290" t="str">
        <f t="shared" si="9"/>
        <v>&lt;FreshmanSATScoresByRangeCriticalReading500_599 Question="C9"&gt;13.21&lt;/FreshmanSATScoresByRangeCriticalReading500_599&gt;</v>
      </c>
    </row>
    <row r="291" spans="4:11" ht="12.75">
      <c r="D291" t="s">
        <v>915</v>
      </c>
      <c r="E291" s="268">
        <f>IF(FreshmanSATScoresByRangeMath500_599&lt;&gt;"",FreshmanSATScoresByRangeMath500_599*100,"-1")</f>
        <v>14.69</v>
      </c>
      <c r="F291"/>
      <c r="G291" s="308" t="s">
        <v>915</v>
      </c>
      <c r="H291" t="s">
        <v>576</v>
      </c>
      <c r="K291" t="str">
        <f t="shared" si="9"/>
        <v>&lt;FreshmanSATScoresByRangeMath500_599 Question="C9"&gt;14.69&lt;/FreshmanSATScoresByRangeMath500_599&gt;</v>
      </c>
    </row>
    <row r="292" spans="4:11" ht="12.75">
      <c r="D292" t="s">
        <v>916</v>
      </c>
      <c r="E292" s="268">
        <f>IF(FreshmanSATScoresByRangeWriting500_599&lt;&gt;"",FreshmanSATScoresByRangeWriting500_599*100,"-1")</f>
        <v>15.229999999999999</v>
      </c>
      <c r="F292"/>
      <c r="G292" s="308" t="s">
        <v>916</v>
      </c>
      <c r="H292" t="s">
        <v>576</v>
      </c>
      <c r="K292" t="str">
        <f t="shared" si="9"/>
        <v>&lt;FreshmanSATScoresByRangeWriting500_599 Question="C9"&gt;15.23&lt;/FreshmanSATScoresByRangeWriting500_599&gt;</v>
      </c>
    </row>
    <row r="293" spans="4:11" ht="12.75">
      <c r="D293" t="s">
        <v>917</v>
      </c>
      <c r="E293" s="268">
        <f>IF(FreshmanSATScoresByRangeCriticalReading400_499&lt;&gt;"",FreshmanSATScoresByRangeCriticalReading400_499*100,"-1")</f>
        <v>1.8599999999999999</v>
      </c>
      <c r="F293"/>
      <c r="G293" s="308" t="s">
        <v>917</v>
      </c>
      <c r="H293" t="s">
        <v>576</v>
      </c>
      <c r="K293" t="str">
        <f t="shared" si="9"/>
        <v>&lt;FreshmanSATScoresByRangeCriticalReading400_499 Question="C9"&gt;1.86&lt;/FreshmanSATScoresByRangeCriticalReading400_499&gt;</v>
      </c>
    </row>
    <row r="294" spans="4:11" ht="12.75">
      <c r="D294" t="s">
        <v>918</v>
      </c>
      <c r="E294" s="268">
        <f>IF(FreshmanSATScoresByRangeMath400_499&lt;&gt;"",FreshmanSATScoresByRangeMath400_499*100,"-1")</f>
        <v>1.71</v>
      </c>
      <c r="F294"/>
      <c r="G294" s="308" t="s">
        <v>918</v>
      </c>
      <c r="H294" t="s">
        <v>576</v>
      </c>
      <c r="K294" t="str">
        <f t="shared" si="9"/>
        <v>&lt;FreshmanSATScoresByRangeMath400_499 Question="C9"&gt;1.71&lt;/FreshmanSATScoresByRangeMath400_499&gt;</v>
      </c>
    </row>
    <row r="295" spans="4:11" ht="12.75">
      <c r="D295" t="s">
        <v>919</v>
      </c>
      <c r="E295" s="268">
        <f>IF(FreshmanSATScoresByRangeWriting400_499&lt;&gt;"",FreshmanSATScoresByRangeWriting400_499*100,"-1")</f>
        <v>2.1</v>
      </c>
      <c r="F295"/>
      <c r="G295" s="308" t="s">
        <v>919</v>
      </c>
      <c r="H295" t="s">
        <v>576</v>
      </c>
      <c r="K295" t="str">
        <f t="shared" si="9"/>
        <v>&lt;FreshmanSATScoresByRangeWriting400_499 Question="C9"&gt;2.1&lt;/FreshmanSATScoresByRangeWriting400_499&gt;</v>
      </c>
    </row>
    <row r="296" spans="4:11" ht="12.75">
      <c r="D296" t="s">
        <v>920</v>
      </c>
      <c r="E296" s="268">
        <f>IF(FreshmanSATScoresByRangeCriticalReading300_399&lt;&gt;"",FreshmanSATScoresByRangeCriticalReading300_399*100,"-1")</f>
        <v>0</v>
      </c>
      <c r="F296"/>
      <c r="G296" s="308" t="s">
        <v>920</v>
      </c>
      <c r="H296" t="s">
        <v>576</v>
      </c>
      <c r="K296" t="str">
        <f t="shared" si="9"/>
        <v>&lt;FreshmanSATScoresByRangeCriticalReading300_399 Question="C9"&gt;0&lt;/FreshmanSATScoresByRangeCriticalReading300_399&gt;</v>
      </c>
    </row>
    <row r="297" spans="4:11" ht="12.75">
      <c r="D297" t="s">
        <v>921</v>
      </c>
      <c r="E297" s="268">
        <f>IF(FreshmanSATScoresByRangeMath300_399&lt;&gt;"",FreshmanSATScoresByRangeMath300_399*100,"-1")</f>
        <v>0.16</v>
      </c>
      <c r="F297"/>
      <c r="G297" s="308" t="s">
        <v>921</v>
      </c>
      <c r="H297" t="s">
        <v>576</v>
      </c>
      <c r="K297" t="str">
        <f t="shared" si="9"/>
        <v>&lt;FreshmanSATScoresByRangeMath300_399 Question="C9"&gt;0.16&lt;/FreshmanSATScoresByRangeMath300_399&gt;</v>
      </c>
    </row>
    <row r="298" spans="4:11" ht="12.75">
      <c r="D298" t="s">
        <v>922</v>
      </c>
      <c r="E298" s="268">
        <f>IF(FreshmanSATScoresByRangeWriting300_399&lt;&gt;"",FreshmanSATScoresByRangeWriting300_399*100,"-1")</f>
        <v>0.2</v>
      </c>
      <c r="F298"/>
      <c r="G298" s="308" t="s">
        <v>922</v>
      </c>
      <c r="H298" t="s">
        <v>576</v>
      </c>
      <c r="K298" t="str">
        <f t="shared" si="9"/>
        <v>&lt;FreshmanSATScoresByRangeWriting300_399 Question="C9"&gt;0.2&lt;/FreshmanSATScoresByRangeWriting300_399&gt;</v>
      </c>
    </row>
    <row r="299" spans="4:11" ht="12.75">
      <c r="D299" t="s">
        <v>923</v>
      </c>
      <c r="E299" s="268">
        <f>IF(FreshmanSATScoresByRangeCriticalReading200_299&lt;&gt;"",FreshmanSATScoresByRangeCriticalReading200_299*100,"-1")</f>
        <v>0</v>
      </c>
      <c r="F299"/>
      <c r="G299" s="308" t="s">
        <v>923</v>
      </c>
      <c r="H299" t="s">
        <v>576</v>
      </c>
      <c r="K299" t="str">
        <f t="shared" si="9"/>
        <v>&lt;FreshmanSATScoresByRangeCriticalReading200_299 Question="C9"&gt;0&lt;/FreshmanSATScoresByRangeCriticalReading200_299&gt;</v>
      </c>
    </row>
    <row r="300" spans="4:11" ht="12.75">
      <c r="D300" t="s">
        <v>924</v>
      </c>
      <c r="E300" s="268">
        <f>IF(FreshmanSATScoresByRangeMath200_299&lt;&gt;"",FreshmanSATScoresByRangeMath200_299*100,"-1")</f>
        <v>0</v>
      </c>
      <c r="F300"/>
      <c r="G300" s="308" t="s">
        <v>924</v>
      </c>
      <c r="H300" t="s">
        <v>576</v>
      </c>
      <c r="K300" t="str">
        <f t="shared" si="9"/>
        <v>&lt;FreshmanSATScoresByRangeMath200_299 Question="C9"&gt;0&lt;/FreshmanSATScoresByRangeMath200_299&gt;</v>
      </c>
    </row>
    <row r="301" spans="4:11" ht="12.75">
      <c r="D301" t="s">
        <v>925</v>
      </c>
      <c r="E301" s="268">
        <f>IF(FreshmanSATScoresByRangeWriting200_299&lt;&gt;"",FreshmanSATScoresByRangeWriting200_299*100,"-1")</f>
        <v>0</v>
      </c>
      <c r="F301"/>
      <c r="G301" s="308" t="s">
        <v>925</v>
      </c>
      <c r="H301" t="s">
        <v>576</v>
      </c>
      <c r="K301" t="str">
        <f t="shared" si="9"/>
        <v>&lt;FreshmanSATScoresByRangeWriting200_299 Question="C9"&gt;0&lt;/FreshmanSATScoresByRangeWriting200_299&gt;</v>
      </c>
    </row>
    <row r="302" spans="4:11" ht="12.75">
      <c r="D302" t="s">
        <v>908</v>
      </c>
      <c r="E302" s="268">
        <f>IF(FreshmanSATScoresByRangeCriticalReadingTotal&lt;&gt;"",FreshmanSATScoresByRangeCriticalReadingTotal*100,"-1")</f>
        <v>99.99</v>
      </c>
      <c r="F302"/>
      <c r="G302" s="308" t="s">
        <v>908</v>
      </c>
      <c r="H302" t="s">
        <v>576</v>
      </c>
      <c r="K302" t="str">
        <f t="shared" si="9"/>
        <v>&lt;FreshmanSATScoresByRangeCriticalReadingTotal Question="C9"&gt;99.99&lt;/FreshmanSATScoresByRangeCriticalReadingTotal&gt;</v>
      </c>
    </row>
    <row r="303" spans="4:11" ht="12.75">
      <c r="D303" t="s">
        <v>909</v>
      </c>
      <c r="E303" s="268">
        <f>IF(FreshmanSATScoresByRangeMathTotal&lt;&gt;"",FreshmanSATScoresByRangeMathTotal*100,"-1")</f>
        <v>100.01</v>
      </c>
      <c r="F303"/>
      <c r="G303" s="308" t="s">
        <v>909</v>
      </c>
      <c r="H303" t="s">
        <v>576</v>
      </c>
      <c r="K303" t="str">
        <f t="shared" si="9"/>
        <v>&lt;FreshmanSATScoresByRangeMathTotal Question="C9"&gt;100.01&lt;/FreshmanSATScoresByRangeMathTotal&gt;</v>
      </c>
    </row>
    <row r="304" spans="4:11" ht="12.75">
      <c r="D304" t="s">
        <v>910</v>
      </c>
      <c r="E304" s="268">
        <f>IF(FreshmanSATScoresByRangeWritingTotal&lt;&gt;"",FreshmanSATScoresByRangeWritingTotal*100,"-1")</f>
        <v>100.05</v>
      </c>
      <c r="F304"/>
      <c r="G304" s="308" t="s">
        <v>910</v>
      </c>
      <c r="H304" t="s">
        <v>576</v>
      </c>
      <c r="K304" t="str">
        <f aca="true" t="shared" si="10" ref="K304:K367">"&lt;"&amp;G304&amp;" Question="""&amp;H304&amp;"""&gt;"&amp;IF(J304=1,"&lt;![CDATA[","")&amp;E304&amp;IF(J304=1,"]]&gt;","")&amp;"&lt;/"&amp;G304&amp;"&gt;"</f>
        <v>&lt;FreshmanSATScoresByRangeWritingTotal Question="C9"&gt;100.05&lt;/FreshmanSATScoresByRangeWritingTotal&gt;</v>
      </c>
    </row>
    <row r="305" spans="4:11" ht="12.75">
      <c r="D305" t="s">
        <v>926</v>
      </c>
      <c r="E305" s="268">
        <f>IF(FreshmanACTScoresByRangeComposite30_36&lt;&gt;"",FreshmanACTScoresByRangeComposite30_36*100,"-1")</f>
        <v>45.76</v>
      </c>
      <c r="F305"/>
      <c r="G305" s="308" t="s">
        <v>926</v>
      </c>
      <c r="H305" t="s">
        <v>576</v>
      </c>
      <c r="K305" t="str">
        <f t="shared" si="10"/>
        <v>&lt;FreshmanACTScoresByRangeComposite30_36 Question="C9"&gt;45.76&lt;/FreshmanACTScoresByRangeComposite30_36&gt;</v>
      </c>
    </row>
    <row r="306" spans="4:11" ht="12.75">
      <c r="D306" t="s">
        <v>927</v>
      </c>
      <c r="E306" s="268">
        <f>IF(FreshmanACTScoresByRangeEnglish30_36&lt;&gt;"",FreshmanACTScoresByRangeEnglish30_36*100,"-1")</f>
        <v>64.41</v>
      </c>
      <c r="F306"/>
      <c r="G306" s="308" t="s">
        <v>927</v>
      </c>
      <c r="H306" t="s">
        <v>576</v>
      </c>
      <c r="K306" t="str">
        <f t="shared" si="10"/>
        <v>&lt;FreshmanACTScoresByRangeEnglish30_36 Question="C9"&gt;64.41&lt;/FreshmanACTScoresByRangeEnglish30_36&gt;</v>
      </c>
    </row>
    <row r="307" spans="4:11" ht="12.75">
      <c r="D307" t="s">
        <v>928</v>
      </c>
      <c r="E307" s="268">
        <f>IF(FreshmanACTScoresByRangeMath30_36&lt;&gt;"",FreshmanACTScoresByRangeMath30_36*100,"-1")</f>
        <v>32.2</v>
      </c>
      <c r="F307"/>
      <c r="G307" s="308" t="s">
        <v>928</v>
      </c>
      <c r="H307" t="s">
        <v>576</v>
      </c>
      <c r="K307" t="str">
        <f t="shared" si="10"/>
        <v>&lt;FreshmanACTScoresByRangeMath30_36 Question="C9"&gt;32.2&lt;/FreshmanACTScoresByRangeMath30_36&gt;</v>
      </c>
    </row>
    <row r="308" spans="4:11" ht="12.75">
      <c r="D308" t="s">
        <v>1126</v>
      </c>
      <c r="E308" s="268">
        <f>IF(FreshmanACTScoresByRangeComposite24_29&lt;&gt;"",FreshmanACTScoresByRangeComposite24_29*100,"-1")</f>
        <v>47.46</v>
      </c>
      <c r="F308"/>
      <c r="G308" s="308" t="s">
        <v>1126</v>
      </c>
      <c r="H308" t="s">
        <v>576</v>
      </c>
      <c r="K308" t="str">
        <f t="shared" si="10"/>
        <v>&lt;FreshmanACTScoresByRangeComposite24_29 Question="C9"&gt;47.46&lt;/FreshmanACTScoresByRangeComposite24_29&gt;</v>
      </c>
    </row>
    <row r="309" spans="4:11" ht="12.75">
      <c r="D309" t="s">
        <v>1127</v>
      </c>
      <c r="E309" s="268">
        <f>IF(FreshmanACTScoresByRangeEnglish24_29&lt;&gt;"",FreshmanACTScoresByRangeEnglish24_29*100,"-1")</f>
        <v>27.12</v>
      </c>
      <c r="F309"/>
      <c r="G309" s="308" t="s">
        <v>1127</v>
      </c>
      <c r="H309" t="s">
        <v>576</v>
      </c>
      <c r="K309" t="str">
        <f t="shared" si="10"/>
        <v>&lt;FreshmanACTScoresByRangeEnglish24_29 Question="C9"&gt;27.12&lt;/FreshmanACTScoresByRangeEnglish24_29&gt;</v>
      </c>
    </row>
    <row r="310" spans="4:11" ht="12.75">
      <c r="D310" t="s">
        <v>1128</v>
      </c>
      <c r="E310" s="268">
        <f>IF(FreshmanACTScoresByRangeMath24_29&lt;&gt;"",FreshmanACTScoresByRangeMath24_29*100,"-1")</f>
        <v>57.63</v>
      </c>
      <c r="F310"/>
      <c r="G310" s="308" t="s">
        <v>1128</v>
      </c>
      <c r="H310" t="s">
        <v>576</v>
      </c>
      <c r="K310" t="str">
        <f t="shared" si="10"/>
        <v>&lt;FreshmanACTScoresByRangeMath24_29 Question="C9"&gt;57.63&lt;/FreshmanACTScoresByRangeMath24_29&gt;</v>
      </c>
    </row>
    <row r="311" spans="4:11" ht="12.75">
      <c r="D311" t="s">
        <v>1129</v>
      </c>
      <c r="E311" s="268">
        <f>IF(FreshmanACTScoresByRangeComposite18_23&lt;&gt;"",FreshmanACTScoresByRangeComposite18_23*100,"-1")</f>
        <v>6.78</v>
      </c>
      <c r="F311"/>
      <c r="G311" s="308" t="s">
        <v>1129</v>
      </c>
      <c r="H311" t="s">
        <v>576</v>
      </c>
      <c r="K311" t="str">
        <f t="shared" si="10"/>
        <v>&lt;FreshmanACTScoresByRangeComposite18_23 Question="C9"&gt;6.78&lt;/FreshmanACTScoresByRangeComposite18_23&gt;</v>
      </c>
    </row>
    <row r="312" spans="4:11" ht="12.75">
      <c r="D312" t="s">
        <v>1130</v>
      </c>
      <c r="E312" s="268">
        <f>IF(FreshmanACTScoresByRangeEnglish18_23&lt;&gt;"",FreshmanACTScoresByRangeEnglish18_23*100,"-1")</f>
        <v>8.469999999999999</v>
      </c>
      <c r="F312"/>
      <c r="G312" s="308" t="s">
        <v>1130</v>
      </c>
      <c r="H312" t="s">
        <v>576</v>
      </c>
      <c r="K312" t="str">
        <f t="shared" si="10"/>
        <v>&lt;FreshmanACTScoresByRangeEnglish18_23 Question="C9"&gt;8.47&lt;/FreshmanACTScoresByRangeEnglish18_23&gt;</v>
      </c>
    </row>
    <row r="313" spans="4:11" ht="12.75">
      <c r="D313" t="s">
        <v>1131</v>
      </c>
      <c r="E313" s="268">
        <f>IF(FreshmanACTScoresByRangeMath18_23&lt;&gt;"",FreshmanACTScoresByRangeMath18_23*100,"-1")</f>
        <v>6.78</v>
      </c>
      <c r="F313"/>
      <c r="G313" s="308" t="s">
        <v>1131</v>
      </c>
      <c r="H313" t="s">
        <v>576</v>
      </c>
      <c r="K313" t="str">
        <f t="shared" si="10"/>
        <v>&lt;FreshmanACTScoresByRangeMath18_23 Question="C9"&gt;6.78&lt;/FreshmanACTScoresByRangeMath18_23&gt;</v>
      </c>
    </row>
    <row r="314" spans="4:11" ht="12.75">
      <c r="D314" t="s">
        <v>1132</v>
      </c>
      <c r="E314" s="268">
        <f>IF(FreshmanACTScoresByRangeComposite12_17&lt;&gt;"",FreshmanACTScoresByRangeComposite12_17*100,"-1")</f>
        <v>0</v>
      </c>
      <c r="F314"/>
      <c r="G314" s="308" t="s">
        <v>1132</v>
      </c>
      <c r="H314" t="s">
        <v>576</v>
      </c>
      <c r="K314" t="str">
        <f t="shared" si="10"/>
        <v>&lt;FreshmanACTScoresByRangeComposite12_17 Question="C9"&gt;0&lt;/FreshmanACTScoresByRangeComposite12_17&gt;</v>
      </c>
    </row>
    <row r="315" spans="4:11" ht="12.75">
      <c r="D315" t="s">
        <v>1133</v>
      </c>
      <c r="E315" s="268">
        <f>IF(FreshmanACTScoresByRangeEnglish12_17&lt;&gt;"",FreshmanACTScoresByRangeEnglish12_17*100,"-1")</f>
        <v>0</v>
      </c>
      <c r="F315"/>
      <c r="G315" s="308" t="s">
        <v>1133</v>
      </c>
      <c r="H315" t="s">
        <v>576</v>
      </c>
      <c r="K315" t="str">
        <f t="shared" si="10"/>
        <v>&lt;FreshmanACTScoresByRangeEnglish12_17 Question="C9"&gt;0&lt;/FreshmanACTScoresByRangeEnglish12_17&gt;</v>
      </c>
    </row>
    <row r="316" spans="4:11" ht="12.75">
      <c r="D316" t="s">
        <v>1134</v>
      </c>
      <c r="E316" s="268">
        <f>IF(FreshmanACTScoresByRangeMath12_17&lt;&gt;"",FreshmanACTScoresByRangeMath12_17*100,"-1")</f>
        <v>3.39</v>
      </c>
      <c r="F316"/>
      <c r="G316" s="308" t="s">
        <v>1134</v>
      </c>
      <c r="H316" t="s">
        <v>576</v>
      </c>
      <c r="K316" t="str">
        <f t="shared" si="10"/>
        <v>&lt;FreshmanACTScoresByRangeMath12_17 Question="C9"&gt;3.39&lt;/FreshmanACTScoresByRangeMath12_17&gt;</v>
      </c>
    </row>
    <row r="317" spans="4:11" ht="12.75">
      <c r="D317" t="s">
        <v>1135</v>
      </c>
      <c r="E317" s="268">
        <f>IF(FreshmanACTScoresByRangeComposite6_11&lt;&gt;"",FreshmanACTScoresByRangeComposite6_11*100,"-1")</f>
        <v>0</v>
      </c>
      <c r="F317"/>
      <c r="G317" s="308" t="s">
        <v>1135</v>
      </c>
      <c r="H317" t="s">
        <v>576</v>
      </c>
      <c r="K317" t="str">
        <f t="shared" si="10"/>
        <v>&lt;FreshmanACTScoresByRangeComposite6_11 Question="C9"&gt;0&lt;/FreshmanACTScoresByRangeComposite6_11&gt;</v>
      </c>
    </row>
    <row r="318" spans="4:11" ht="12.75">
      <c r="D318" t="s">
        <v>220</v>
      </c>
      <c r="E318" s="268">
        <f>IF(FreshmanACTScoresByRangeEnglish6_11&lt;&gt;"",FreshmanACTScoresByRangeEnglish6_11*100,"-1")</f>
        <v>0</v>
      </c>
      <c r="F318"/>
      <c r="G318" s="308" t="s">
        <v>220</v>
      </c>
      <c r="H318" t="s">
        <v>576</v>
      </c>
      <c r="K318" t="str">
        <f t="shared" si="10"/>
        <v>&lt;FreshmanACTScoresByRangeEnglish6_11 Question="C9"&gt;0&lt;/FreshmanACTScoresByRangeEnglish6_11&gt;</v>
      </c>
    </row>
    <row r="319" spans="4:11" ht="12.75">
      <c r="D319" t="s">
        <v>221</v>
      </c>
      <c r="E319" s="268">
        <f>IF(FreshmanACTScoresByRangeMath6_11&lt;&gt;"",FreshmanACTScoresByRangeMath6_11*100,"-1")</f>
        <v>0</v>
      </c>
      <c r="F319"/>
      <c r="G319" s="308" t="s">
        <v>221</v>
      </c>
      <c r="H319" t="s">
        <v>576</v>
      </c>
      <c r="K319" t="str">
        <f t="shared" si="10"/>
        <v>&lt;FreshmanACTScoresByRangeMath6_11 Question="C9"&gt;0&lt;/FreshmanACTScoresByRangeMath6_11&gt;</v>
      </c>
    </row>
    <row r="320" spans="4:11" ht="12.75">
      <c r="D320" t="s">
        <v>222</v>
      </c>
      <c r="E320" s="268">
        <f>IF(FreshmanACTScoresByRangeComposite1_5&lt;&gt;"",FreshmanACTScoresByRangeComposite1_5*100,"-1")</f>
        <v>0</v>
      </c>
      <c r="F320"/>
      <c r="G320" s="308" t="s">
        <v>222</v>
      </c>
      <c r="H320" t="s">
        <v>576</v>
      </c>
      <c r="K320" t="str">
        <f t="shared" si="10"/>
        <v>&lt;FreshmanACTScoresByRangeComposite1_5 Question="C9"&gt;0&lt;/FreshmanACTScoresByRangeComposite1_5&gt;</v>
      </c>
    </row>
    <row r="321" spans="4:11" ht="12.75">
      <c r="D321" t="s">
        <v>223</v>
      </c>
      <c r="E321" s="268">
        <f>IF(FreshmanACTScoresByRangeEnglish1_5&lt;&gt;"",FreshmanACTScoresByRangeEnglish1_5*100,"-1")</f>
        <v>0</v>
      </c>
      <c r="F321"/>
      <c r="G321" s="308" t="s">
        <v>223</v>
      </c>
      <c r="H321" t="s">
        <v>576</v>
      </c>
      <c r="K321" t="str">
        <f t="shared" si="10"/>
        <v>&lt;FreshmanACTScoresByRangeEnglish1_5 Question="C9"&gt;0&lt;/FreshmanACTScoresByRangeEnglish1_5&gt;</v>
      </c>
    </row>
    <row r="322" spans="4:11" ht="12.75">
      <c r="D322" t="s">
        <v>224</v>
      </c>
      <c r="E322" s="268">
        <f>IF(FreshmanACTScoresByRangeMath1_5&lt;&gt;"",FreshmanACTScoresByRangeMath1_5*100,"-1")</f>
        <v>0</v>
      </c>
      <c r="F322"/>
      <c r="G322" s="308" t="s">
        <v>224</v>
      </c>
      <c r="H322" t="s">
        <v>576</v>
      </c>
      <c r="K322" t="str">
        <f t="shared" si="10"/>
        <v>&lt;FreshmanACTScoresByRangeMath1_5 Question="C9"&gt;0&lt;/FreshmanACTScoresByRangeMath1_5&gt;</v>
      </c>
    </row>
    <row r="323" spans="4:11" ht="12.75">
      <c r="D323" t="s">
        <v>225</v>
      </c>
      <c r="E323" s="268">
        <f>IF(FreshmanACTScoresByRangeCompositeTotal&lt;&gt;"",FreshmanACTScoresByRangeCompositeTotal*100,"-1")</f>
        <v>100</v>
      </c>
      <c r="F323"/>
      <c r="G323" s="310" t="s">
        <v>225</v>
      </c>
      <c r="H323" t="s">
        <v>576</v>
      </c>
      <c r="K323" t="str">
        <f t="shared" si="10"/>
        <v>&lt;FreshmanACTScoresByRangeCompositeTotal Question="C9"&gt;100&lt;/FreshmanACTScoresByRangeCompositeTotal&gt;</v>
      </c>
    </row>
    <row r="324" spans="4:11" ht="12.75">
      <c r="D324" t="s">
        <v>226</v>
      </c>
      <c r="E324" s="268">
        <f>IF(FreshmanACTScoresByRangeEnglishTotal&lt;&gt;"",FreshmanACTScoresByRangeEnglishTotal*100,"-1")</f>
        <v>100</v>
      </c>
      <c r="F324"/>
      <c r="G324" s="310" t="s">
        <v>226</v>
      </c>
      <c r="H324" t="s">
        <v>576</v>
      </c>
      <c r="K324" t="str">
        <f t="shared" si="10"/>
        <v>&lt;FreshmanACTScoresByRangeEnglishTotal Question="C9"&gt;100&lt;/FreshmanACTScoresByRangeEnglishTotal&gt;</v>
      </c>
    </row>
    <row r="325" spans="4:11" ht="12.75">
      <c r="D325" t="s">
        <v>227</v>
      </c>
      <c r="E325" s="268">
        <f>IF(FreshmanACTScoresByRangeMathTotal&lt;&gt;"",FreshmanACTScoresByRangeMathTotal*100,"-1")</f>
        <v>100</v>
      </c>
      <c r="F325"/>
      <c r="G325" s="310" t="s">
        <v>227</v>
      </c>
      <c r="H325" t="s">
        <v>576</v>
      </c>
      <c r="K325" t="str">
        <f t="shared" si="10"/>
        <v>&lt;FreshmanACTScoresByRangeMathTotal Question="C9"&gt;100&lt;/FreshmanACTScoresByRangeMathTotal&gt;</v>
      </c>
    </row>
    <row r="326" spans="4:11" ht="12.75">
      <c r="D326" t="s">
        <v>1004</v>
      </c>
      <c r="E326" s="268">
        <f>IF(ClassRankPercentTop10&lt;&gt;"",ClassRankPercentTop10*100,"-1")</f>
        <v>78.72340425531915</v>
      </c>
      <c r="F326"/>
      <c r="G326" s="308" t="s">
        <v>1004</v>
      </c>
      <c r="H326" t="s">
        <v>577</v>
      </c>
      <c r="K326" t="str">
        <f t="shared" si="10"/>
        <v>&lt;ClassRankPercentTop10 Question="C10"&gt;78.7234042553192&lt;/ClassRankPercentTop10&gt;</v>
      </c>
    </row>
    <row r="327" spans="4:11" ht="12.75">
      <c r="D327" t="s">
        <v>1005</v>
      </c>
      <c r="E327" s="268">
        <f>IF(ClassRankPercentTop25&lt;&gt;"",ClassRankPercentTop25*100,"-1")</f>
        <v>96.50455927051672</v>
      </c>
      <c r="F327"/>
      <c r="G327" s="308" t="s">
        <v>1005</v>
      </c>
      <c r="H327" t="s">
        <v>577</v>
      </c>
      <c r="K327" t="str">
        <f t="shared" si="10"/>
        <v>&lt;ClassRankPercentTop25 Question="C10"&gt;96.5045592705167&lt;/ClassRankPercentTop25&gt;</v>
      </c>
    </row>
    <row r="328" spans="4:11" ht="12.75">
      <c r="D328" t="s">
        <v>1006</v>
      </c>
      <c r="E328" s="268">
        <f>IF(ClassRankPercentTop50&lt;&gt;"",ClassRankPercentTop50*100,"-1")</f>
        <v>99.8</v>
      </c>
      <c r="F328"/>
      <c r="G328" s="308" t="s">
        <v>1006</v>
      </c>
      <c r="H328" t="s">
        <v>577</v>
      </c>
      <c r="K328" t="str">
        <f t="shared" si="10"/>
        <v>&lt;ClassRankPercentTop50 Question="C10"&gt;99.8&lt;/ClassRankPercentTop50&gt;</v>
      </c>
    </row>
    <row r="329" spans="4:11" ht="12.75">
      <c r="D329" t="s">
        <v>1007</v>
      </c>
      <c r="E329" s="268">
        <f>IF(ClassRankPercentBottom50&lt;&gt;"",ClassRankPercentBottom50*100,"-1")</f>
        <v>0.2</v>
      </c>
      <c r="F329"/>
      <c r="G329" s="308" t="s">
        <v>1007</v>
      </c>
      <c r="H329" t="s">
        <v>577</v>
      </c>
      <c r="K329" t="str">
        <f t="shared" si="10"/>
        <v>&lt;ClassRankPercentBottom50 Question="C10"&gt;0.2&lt;/ClassRankPercentBottom50&gt;</v>
      </c>
    </row>
    <row r="330" spans="4:11" ht="12.75">
      <c r="D330" t="s">
        <v>1008</v>
      </c>
      <c r="E330" s="268">
        <f>IF(ClassRankPercentBottom25&lt;&gt;"",ClassRankPercentBottom25*100,"-1")</f>
        <v>0</v>
      </c>
      <c r="F330"/>
      <c r="G330" s="308" t="s">
        <v>1008</v>
      </c>
      <c r="H330" t="s">
        <v>577</v>
      </c>
      <c r="K330" t="str">
        <f t="shared" si="10"/>
        <v>&lt;ClassRankPercentBottom25 Question="C10"&gt;0&lt;/ClassRankPercentBottom25&gt;</v>
      </c>
    </row>
    <row r="331" spans="4:11" ht="12.75">
      <c r="D331" t="s">
        <v>1009</v>
      </c>
      <c r="E331" s="268">
        <f>IF(ClassRankPercentPercentSubmitted&lt;&gt;"",ClassRankPercentPercentSubmitted*100,"-1")</f>
        <v>48.88558692421991</v>
      </c>
      <c r="F331"/>
      <c r="G331" s="308" t="s">
        <v>1009</v>
      </c>
      <c r="H331" t="s">
        <v>577</v>
      </c>
      <c r="K331" t="str">
        <f t="shared" si="10"/>
        <v>&lt;ClassRankPercentPercentSubmitted Question="C10"&gt;48.8855869242199&lt;/ClassRankPercentPercentSubmitted&gt;</v>
      </c>
    </row>
    <row r="332" spans="4:11" ht="12.75">
      <c r="D332" t="s">
        <v>1010</v>
      </c>
      <c r="E332" s="268">
        <f>IF(GPAPercent3_75To4&lt;&gt;"",GPAPercent3_75To4*100,"-1")</f>
        <v>76.71111111111111</v>
      </c>
      <c r="F332"/>
      <c r="G332" s="308" t="s">
        <v>1010</v>
      </c>
      <c r="H332" t="s">
        <v>578</v>
      </c>
      <c r="K332" t="str">
        <f t="shared" si="10"/>
        <v>&lt;GPAPercent3_75To4 Question="C11"&gt;76.7111111111111&lt;/GPAPercent3_75To4&gt;</v>
      </c>
    </row>
    <row r="333" spans="4:11" ht="12.75">
      <c r="D333" t="s">
        <v>1011</v>
      </c>
      <c r="E333" s="268">
        <f>IF(GPAPercent3_5To3_74&lt;&gt;"",GPAPercent3_5To3_74*100,"-1")</f>
        <v>16.89</v>
      </c>
      <c r="F333"/>
      <c r="G333" s="308" t="s">
        <v>1011</v>
      </c>
      <c r="H333" t="s">
        <v>578</v>
      </c>
      <c r="K333" t="str">
        <f t="shared" si="10"/>
        <v>&lt;GPAPercent3_5To3_74 Question="C11"&gt;16.89&lt;/GPAPercent3_5To3_74&gt;</v>
      </c>
    </row>
    <row r="334" spans="4:11" ht="12.75">
      <c r="D334" t="s">
        <v>1136</v>
      </c>
      <c r="E334" s="268">
        <f>IF(GPAPercent3_25To3_49&lt;&gt;"",GPAPercent3_25To3_49*100,"-1")</f>
        <v>3.56</v>
      </c>
      <c r="F334"/>
      <c r="G334" s="308" t="s">
        <v>1136</v>
      </c>
      <c r="H334" t="s">
        <v>578</v>
      </c>
      <c r="K334" t="str">
        <f t="shared" si="10"/>
        <v>&lt;GPAPercent3_25To3_49 Question="C11"&gt;3.56&lt;/GPAPercent3_25To3_49&gt;</v>
      </c>
    </row>
    <row r="335" spans="4:11" ht="12.75">
      <c r="D335" t="s">
        <v>1137</v>
      </c>
      <c r="E335" s="268">
        <f>IF(GPAPercent3To3_24&lt;&gt;"",GPAPercent3To3_24*100,"-1")</f>
        <v>2.4</v>
      </c>
      <c r="F335"/>
      <c r="G335" s="308" t="s">
        <v>1137</v>
      </c>
      <c r="H335" t="s">
        <v>578</v>
      </c>
      <c r="K335" t="str">
        <f t="shared" si="10"/>
        <v>&lt;GPAPercent3To3_24 Question="C11"&gt;2.4&lt;/GPAPercent3To3_24&gt;</v>
      </c>
    </row>
    <row r="336" spans="4:11" ht="12.75">
      <c r="D336" t="s">
        <v>1138</v>
      </c>
      <c r="E336" s="268">
        <f>IF(GPAPercent2_5To2_99&lt;&gt;"",GPAPercent2_5To2_99*100,"-1")</f>
        <v>0.44</v>
      </c>
      <c r="F336"/>
      <c r="G336" s="308" t="s">
        <v>1138</v>
      </c>
      <c r="H336" t="s">
        <v>578</v>
      </c>
      <c r="K336" t="str">
        <f t="shared" si="10"/>
        <v>&lt;GPAPercent2_5To2_99 Question="C11"&gt;0.44&lt;/GPAPercent2_5To2_99&gt;</v>
      </c>
    </row>
    <row r="337" spans="4:11" ht="12.75">
      <c r="D337" t="s">
        <v>1139</v>
      </c>
      <c r="E337" s="268">
        <f>IF(GPAPercent2To2_49&lt;&gt;"",GPAPercent2To2_49*100,"-1")</f>
        <v>0</v>
      </c>
      <c r="F337"/>
      <c r="G337" s="308" t="s">
        <v>1139</v>
      </c>
      <c r="H337" t="s">
        <v>578</v>
      </c>
      <c r="K337" t="str">
        <f t="shared" si="10"/>
        <v>&lt;GPAPercent2To2_49 Question="C11"&gt;0&lt;/GPAPercent2To2_49&gt;</v>
      </c>
    </row>
    <row r="338" spans="4:11" ht="12.75">
      <c r="D338" t="s">
        <v>2008</v>
      </c>
      <c r="E338" s="268">
        <f>IF(GPAPercent1To1_99&lt;&gt;"",GPAPercent1To1_99*100,"-1")</f>
        <v>0</v>
      </c>
      <c r="F338"/>
      <c r="G338" s="308" t="s">
        <v>2008</v>
      </c>
      <c r="H338" t="s">
        <v>578</v>
      </c>
      <c r="K338" t="str">
        <f t="shared" si="10"/>
        <v>&lt;GPAPercent1To1_99 Question="C11"&gt;0&lt;/GPAPercent1To1_99&gt;</v>
      </c>
    </row>
    <row r="339" spans="4:11" ht="12.75">
      <c r="D339" t="s">
        <v>2009</v>
      </c>
      <c r="E339" s="268">
        <f>IF(GPAPercent0To0_99&lt;&gt;"",GPAPercent0To0_99*100,"-1")</f>
        <v>0</v>
      </c>
      <c r="F339"/>
      <c r="G339" s="308" t="s">
        <v>2009</v>
      </c>
      <c r="H339" t="s">
        <v>578</v>
      </c>
      <c r="K339" t="str">
        <f t="shared" si="10"/>
        <v>&lt;GPAPercent0To0_99 Question="C11"&gt;0&lt;/GPAPercent0To0_99&gt;</v>
      </c>
    </row>
    <row r="340" spans="4:11" ht="12.75">
      <c r="D340" t="s">
        <v>2010</v>
      </c>
      <c r="E340" s="268">
        <f>IF(GPAPercentTotal&lt;&gt;"",GPAPercentTotal*100,"-1")</f>
        <v>100.00111111111111</v>
      </c>
      <c r="F340"/>
      <c r="G340" s="312" t="s">
        <v>2010</v>
      </c>
      <c r="H340" t="s">
        <v>578</v>
      </c>
      <c r="K340" t="str">
        <f t="shared" si="10"/>
        <v>&lt;GPAPercentTotal Question="C11"&gt;100.001111111111&lt;/GPAPercentTotal&gt;</v>
      </c>
    </row>
    <row r="341" spans="4:11" ht="12.75">
      <c r="D341" t="s">
        <v>2011</v>
      </c>
      <c r="E341" s="268">
        <f>IF(AverageFreshmanGPA&lt;&gt;"",AverageFreshmanGPA,"-1")</f>
        <v>4</v>
      </c>
      <c r="F341"/>
      <c r="G341" s="310" t="s">
        <v>2011</v>
      </c>
      <c r="H341" t="s">
        <v>579</v>
      </c>
      <c r="K341" t="str">
        <f t="shared" si="10"/>
        <v>&lt;AverageFreshmanGPA Question="C12"&gt;4&lt;/AverageFreshmanGPA&gt;</v>
      </c>
    </row>
    <row r="342" spans="4:11" ht="12.75">
      <c r="D342" t="s">
        <v>2012</v>
      </c>
      <c r="E342" s="268">
        <f>IF(PercentFreshmenSubmittedGPA&gt;0,PercentFreshmenSubmittedGPA*100,"-1")</f>
        <v>83.5809806835067</v>
      </c>
      <c r="F342" t="str">
        <f>"=if("&amp;D342&amp;"&gt;0,"&amp;D342&amp;"*100,""-1"")"</f>
        <v>=if(PercentFreshmenSubmittedGPA&gt;0,PercentFreshmenSubmittedGPA*100,"-1")</v>
      </c>
      <c r="G342" s="308" t="s">
        <v>2012</v>
      </c>
      <c r="H342" t="s">
        <v>579</v>
      </c>
      <c r="K342" t="str">
        <f t="shared" si="10"/>
        <v>&lt;PercentFreshmenSubmittedGPA Question="C12"&gt;83.5809806835067&lt;/PercentFreshmenSubmittedGPA&gt;</v>
      </c>
    </row>
    <row r="343" spans="4:11" ht="12.75">
      <c r="D343" t="s">
        <v>2013</v>
      </c>
      <c r="E343" s="254" t="str">
        <f>CLEAN(IF(ApplicationFee1&lt;&gt;"",1,IF(ApplicationFee2&lt;&gt;"",0,-1)))</f>
        <v>1</v>
      </c>
      <c r="F343"/>
      <c r="G343" s="307" t="s">
        <v>2013</v>
      </c>
      <c r="H343" t="s">
        <v>580</v>
      </c>
      <c r="K343" t="str">
        <f t="shared" si="10"/>
        <v>&lt;ApplicationFee Question="C13"&gt;1&lt;/ApplicationFee&gt;</v>
      </c>
    </row>
    <row r="344" spans="4:11" ht="12.75">
      <c r="D344" t="s">
        <v>2014</v>
      </c>
      <c r="E344" s="303">
        <f>IF(ApplicationFeeValue&lt;&gt;"",ApplicationFeeValue,"-1")</f>
        <v>60</v>
      </c>
      <c r="F344" t="str">
        <f>"=if("&amp;D344&amp;"&lt;&gt;"""","&amp;D344&amp;",""-1"")"</f>
        <v>=if(ApplicationFeeValue&lt;&gt;"",ApplicationFeeValue,"-1")</v>
      </c>
      <c r="G344" s="313" t="s">
        <v>2014</v>
      </c>
      <c r="H344" t="s">
        <v>580</v>
      </c>
      <c r="K344" t="str">
        <f t="shared" si="10"/>
        <v>&lt;ApplicationFeeValue Question="C13"&gt;60&lt;/ApplicationFeeValue&gt;</v>
      </c>
    </row>
    <row r="345" spans="4:11" ht="12.75">
      <c r="D345" t="s">
        <v>2015</v>
      </c>
      <c r="E345" s="254" t="str">
        <f>CLEAN(IF(ApplicationFeeWaiver1&lt;&gt;"",1,IF(ApplicationFeeWaiver2&lt;&gt;"",0,-1)))</f>
        <v>1</v>
      </c>
      <c r="F345"/>
      <c r="G345" s="307" t="s">
        <v>2015</v>
      </c>
      <c r="H345" t="s">
        <v>580</v>
      </c>
      <c r="K345" t="str">
        <f t="shared" si="10"/>
        <v>&lt;ApplicationFeeWaiver Question="C13"&gt;1&lt;/ApplicationFeeWaiver&gt;</v>
      </c>
    </row>
    <row r="346" spans="4:11" ht="12.75">
      <c r="D346" t="s">
        <v>2016</v>
      </c>
      <c r="E346" s="269">
        <f>IF(OnlineApplicationFee1&lt;&gt;"",1,IF(OnlineApplicationFee2&lt;&gt;"",2,IF(OnlineApplicationFee3&lt;&gt;"",3,-1)))</f>
        <v>1</v>
      </c>
      <c r="F346" t="str">
        <f>"=If("&amp;D346&amp;"_1&lt;&gt;"""",1,if("&amp;D346&amp;"_2&lt;&gt;"""",2,if("&amp;D346&amp;"_3&lt;&gt;"""",3,-1)))"</f>
        <v>=If(OnlineApplicationFee_1&lt;&gt;"",1,if(OnlineApplicationFee_2&lt;&gt;"",2,if(OnlineApplicationFee_3&lt;&gt;"",3,-1)))</v>
      </c>
      <c r="G346" s="310" t="s">
        <v>2016</v>
      </c>
      <c r="H346" t="s">
        <v>580</v>
      </c>
      <c r="K346" t="str">
        <f t="shared" si="10"/>
        <v>&lt;OnlineApplicationFee Question="C13"&gt;1&lt;/OnlineApplicationFee&gt;</v>
      </c>
    </row>
    <row r="347" spans="4:11" ht="12.75">
      <c r="D347" t="s">
        <v>2017</v>
      </c>
      <c r="E347" s="269" t="str">
        <f>CLEAN(IF(OnlineApplicationFeeWaiver1&lt;&gt;"",1,IF(OnlineApplicationFeeWaiver2&lt;&gt;"",0,-1)))</f>
        <v>1</v>
      </c>
      <c r="F347"/>
      <c r="G347" s="307" t="s">
        <v>2017</v>
      </c>
      <c r="H347" t="s">
        <v>580</v>
      </c>
      <c r="K347" t="str">
        <f t="shared" si="10"/>
        <v>&lt;OnlineApplicationFeeWaiver Question="C13"&gt;1&lt;/OnlineApplicationFeeWaiver&gt;</v>
      </c>
    </row>
    <row r="348" spans="4:11" ht="12.75">
      <c r="D348" t="s">
        <v>2018</v>
      </c>
      <c r="E348" s="254" t="str">
        <f>CLEAN(IF(ApplicationDeadline1&lt;&gt;"",1,IF(ApplicationDeadline2&lt;&gt;"",0,-1)))</f>
        <v>1</v>
      </c>
      <c r="F348"/>
      <c r="G348" s="307" t="s">
        <v>2018</v>
      </c>
      <c r="H348" t="s">
        <v>580</v>
      </c>
      <c r="K348" t="str">
        <f t="shared" si="10"/>
        <v>&lt;ApplicationDeadline Question="C13"&gt;1&lt;/ApplicationDeadline&gt;</v>
      </c>
    </row>
    <row r="349" spans="4:11" ht="12.75">
      <c r="D349" t="s">
        <v>2019</v>
      </c>
      <c r="E349" s="278" t="str">
        <f>IF(ApplicationClosingDateFall&gt;0,MONTH(ApplicationClosingDateFall)&amp;"/"&amp;DAY(ApplicationClosingDateFall),"-1")</f>
        <v>1/1</v>
      </c>
      <c r="F349" t="str">
        <f>"=IF("&amp;D349&amp;"&gt;0,MONTH("&amp;D349&amp;")&amp;""/""&amp;DAY("&amp;D349&amp;"),""-1"")"</f>
        <v>=IF(ApplicationClosingDateFall&gt;0,MONTH(ApplicationClosingDateFall)&amp;"/"&amp;DAY(ApplicationClosingDateFall),"-1")</v>
      </c>
      <c r="G349" s="314" t="s">
        <v>2019</v>
      </c>
      <c r="H349" t="s">
        <v>581</v>
      </c>
      <c r="K349" t="str">
        <f t="shared" si="10"/>
        <v>&lt;ApplicationClosingDateFall Question="C14"&gt;1/1&lt;/ApplicationClosingDateFall&gt;</v>
      </c>
    </row>
    <row r="350" spans="4:11" ht="12.75">
      <c r="D350" t="s">
        <v>2020</v>
      </c>
      <c r="E350" s="278" t="str">
        <f>IF(ApplicationPriorityDateFall&gt;0,MONTH(ApplicationPriorityDateFall)&amp;"/"&amp;DAY(ApplicationPriorityDateFall),"-1")</f>
        <v>-1</v>
      </c>
      <c r="F350"/>
      <c r="G350" s="314" t="s">
        <v>2020</v>
      </c>
      <c r="H350" t="s">
        <v>581</v>
      </c>
      <c r="K350" t="str">
        <f t="shared" si="10"/>
        <v>&lt;ApplicationPriorityDateFall Question="C14"&gt;-1&lt;/ApplicationPriorityDateFall&gt;</v>
      </c>
    </row>
    <row r="351" spans="4:11" ht="12.75">
      <c r="D351" t="s">
        <v>450</v>
      </c>
      <c r="E351" s="254" t="str">
        <f>CLEAN(IF(AcceptanceOtherThanFall1&lt;&gt;"",1,IF(AcceptanceOtherThanFall2&lt;&gt;"",0,-1)))</f>
        <v>0</v>
      </c>
      <c r="F351"/>
      <c r="G351" s="307" t="s">
        <v>450</v>
      </c>
      <c r="H351" t="s">
        <v>582</v>
      </c>
      <c r="K351" t="str">
        <f t="shared" si="10"/>
        <v>&lt;AcceptanceOtherThanFall Question="C15"&gt;0&lt;/AcceptanceOtherThanFall&gt;</v>
      </c>
    </row>
    <row r="352" spans="4:11" ht="12.75">
      <c r="D352" t="s">
        <v>1779</v>
      </c>
      <c r="E352" s="278" t="str">
        <f>IF(ApplicationRollingAdmissionsStartDate&gt;0,MONTH(ApplicationRollingAdmissionsStartDate)&amp;"/"&amp;DAY(ApplicationRollingAdmissionsStartDate),"-1")</f>
        <v>-1</v>
      </c>
      <c r="F352" t="str">
        <f>"=IF("&amp;D352&amp;"&gt;0,MONTH("&amp;D352&amp;")&amp;""/""&amp;DAY("&amp;D352&amp;"),""-1"")"</f>
        <v>=IF(ApplicationRollingAdmissionsStartDate&gt;0,MONTH(ApplicationRollingAdmissionsStartDate)&amp;"/"&amp;DAY(ApplicationRollingAdmissionsStartDate),"-1")</v>
      </c>
      <c r="G352" s="314" t="s">
        <v>1779</v>
      </c>
      <c r="H352" t="s">
        <v>583</v>
      </c>
      <c r="K352" t="str">
        <f t="shared" si="10"/>
        <v>&lt;ApplicationRollingAdmissionsStartDate Question="C16"&gt;-1&lt;/ApplicationRollingAdmissionsStartDate&gt;</v>
      </c>
    </row>
    <row r="353" spans="4:11" ht="12.75">
      <c r="D353" t="s">
        <v>1780</v>
      </c>
      <c r="E353" s="278" t="str">
        <f>IF(ApplicationNotificationByDate&gt;0,MONTH(ApplicationNotificationByDate)&amp;"/"&amp;DAY(ApplicationNotificationByDate),"-1")</f>
        <v>4/1</v>
      </c>
      <c r="F353"/>
      <c r="G353" s="314" t="s">
        <v>1780</v>
      </c>
      <c r="H353" t="s">
        <v>583</v>
      </c>
      <c r="K353" t="str">
        <f t="shared" si="10"/>
        <v>&lt;ApplicationNotificationByDate Question="C16"&gt;4/1&lt;/ApplicationNotificationByDate&gt;</v>
      </c>
    </row>
    <row r="354" spans="4:11" ht="12.75">
      <c r="D354" t="s">
        <v>1781</v>
      </c>
      <c r="E354" s="280">
        <f>IF(ApplicationNotificationOther&lt;&gt;"",ApplicationNotificationOther,"")</f>
      </c>
      <c r="F354"/>
      <c r="G354" s="315" t="s">
        <v>1781</v>
      </c>
      <c r="H354" t="s">
        <v>583</v>
      </c>
      <c r="J354">
        <v>1</v>
      </c>
      <c r="K354" t="str">
        <f t="shared" si="10"/>
        <v>&lt;ApplicationNotificationOther Question="C16"&gt;&lt;![CDATA[]]&gt;&lt;/ApplicationNotificationOther&gt;</v>
      </c>
    </row>
    <row r="355" spans="4:11" ht="12.75">
      <c r="D355" t="s">
        <v>1782</v>
      </c>
      <c r="E355" s="278" t="str">
        <f>IF(AdmittedReplyByDate&gt;0,MONTH(AdmittedReplyByDate)&amp;"/"&amp;DAY(AdmittedReplyByDate),"-1")</f>
        <v>5/1</v>
      </c>
      <c r="F355" t="str">
        <f>"=IF("&amp;D355&amp;"&gt;0,MONTH("&amp;D355&amp;")&amp;""/""&amp;DAY("&amp;D355&amp;"),""-1"")"</f>
        <v>=IF(AdmittedReplyByDate&gt;0,MONTH(AdmittedReplyByDate)&amp;"/"&amp;DAY(AdmittedReplyByDate),"-1")</v>
      </c>
      <c r="G355" s="314" t="s">
        <v>1782</v>
      </c>
      <c r="H355" t="s">
        <v>584</v>
      </c>
      <c r="K355" t="str">
        <f t="shared" si="10"/>
        <v>&lt;AdmittedReplyByDate Question="C17"&gt;5/1&lt;/AdmittedReplyByDate&gt;</v>
      </c>
    </row>
    <row r="356" spans="4:11" ht="12.75">
      <c r="D356" t="s">
        <v>1783</v>
      </c>
      <c r="E356" s="254" t="str">
        <f>IF(AdmittedReplyByNoSetDate&lt;&gt;"","True","False")</f>
        <v>False</v>
      </c>
      <c r="F356" t="str">
        <f>"=IF("&amp;D356&amp;"&lt;&gt;"""",""True"",""False"")"</f>
        <v>=IF(AdmittedReplyByNoSetDate&lt;&gt;"","True","False")</v>
      </c>
      <c r="G356" s="307" t="s">
        <v>1783</v>
      </c>
      <c r="H356" t="s">
        <v>584</v>
      </c>
      <c r="K356" t="str">
        <f t="shared" si="10"/>
        <v>&lt;AdmittedReplyByNoSetDate Question="C17"&gt;False&lt;/AdmittedReplyByNoSetDate&gt;</v>
      </c>
    </row>
    <row r="357" spans="4:11" ht="12.75">
      <c r="D357" t="s">
        <v>1785</v>
      </c>
      <c r="E357" s="254" t="str">
        <f>IF(AdmittedReplyByMay1&lt;&gt;"","True","False")</f>
        <v>False</v>
      </c>
      <c r="F357"/>
      <c r="G357" s="307" t="s">
        <v>1785</v>
      </c>
      <c r="H357" t="s">
        <v>584</v>
      </c>
      <c r="K357" t="str">
        <f t="shared" si="10"/>
        <v>&lt;AdmittedReplyByMay1 Question="C17"&gt;False&lt;/AdmittedReplyByMay1&gt;</v>
      </c>
    </row>
    <row r="358" spans="4:11" ht="12.75">
      <c r="D358" t="s">
        <v>1784</v>
      </c>
      <c r="E358" s="254" t="str">
        <f>IF(AdmittedReplyByXWeeksOfMay1&lt;&gt;"",AdmittedReplyByXWeeksOfMay1,"-1")</f>
        <v>-1</v>
      </c>
      <c r="F358" t="str">
        <f>"=if("&amp;D358&amp;"&lt;&gt;"""","&amp;D358&amp;",""-1"")"</f>
        <v>=if(AdmittedReplyByXWeeksOfMay1&lt;&gt;"",AdmittedReplyByXWeeksOfMay1,"-1")</v>
      </c>
      <c r="G358" s="307" t="s">
        <v>1784</v>
      </c>
      <c r="H358" t="s">
        <v>584</v>
      </c>
      <c r="K358" t="str">
        <f t="shared" si="10"/>
        <v>&lt;AdmittedReplyByXWeeksOfMay1 Question="C17"&gt;-1&lt;/AdmittedReplyByXWeeksOfMay1&gt;</v>
      </c>
    </row>
    <row r="359" spans="4:11" ht="12.75">
      <c r="D359" t="s">
        <v>1788</v>
      </c>
      <c r="E359" s="254">
        <f>CLEAN(AdmittedReplyByOther)</f>
      </c>
      <c r="F359"/>
      <c r="G359" s="307" t="s">
        <v>1788</v>
      </c>
      <c r="H359" t="s">
        <v>584</v>
      </c>
      <c r="J359">
        <v>1</v>
      </c>
      <c r="K359" t="str">
        <f t="shared" si="10"/>
        <v>&lt;AdmittedReplyByOther Question="C17"&gt;&lt;![CDATA[]]&gt;&lt;/AdmittedReplyByOther&gt;</v>
      </c>
    </row>
    <row r="360" spans="4:11" ht="12.75">
      <c r="D360" t="s">
        <v>1789</v>
      </c>
      <c r="E360" s="278" t="str">
        <f>IF(HousingDepositDeadlineDate&gt;0,MONTH(HousingDepositDeadlineDate)&amp;"/"&amp;DAY(HousingDepositDeadlineDate),"-1")</f>
        <v>5/1</v>
      </c>
      <c r="F360" t="str">
        <f>"=IF("&amp;D360&amp;"&gt;0,MONTH("&amp;D360&amp;")&amp;""/""&amp;DAY("&amp;D360&amp;"),""-1"")"</f>
        <v>=IF(HousingDepositDeadlineDate&gt;0,MONTH(HousingDepositDeadlineDate)&amp;"/"&amp;DAY(HousingDepositDeadlineDate),"-1")</v>
      </c>
      <c r="G360" s="314" t="s">
        <v>1789</v>
      </c>
      <c r="H360" t="s">
        <v>584</v>
      </c>
      <c r="K360" t="str">
        <f t="shared" si="10"/>
        <v>&lt;HousingDepositDeadlineDate Question="C17"&gt;5/1&lt;/HousingDepositDeadlineDate&gt;</v>
      </c>
    </row>
    <row r="361" spans="4:11" ht="12.75">
      <c r="D361" t="s">
        <v>1790</v>
      </c>
      <c r="E361" s="303">
        <f>IF(HousingDepositAmount&lt;&gt;"",HousingDepositAmount,"-1")</f>
        <v>200</v>
      </c>
      <c r="F361" t="str">
        <f>"=if("&amp;D361&amp;"&lt;&gt;"""","&amp;D361&amp;",""-1"")"</f>
        <v>=if(HousingDepositAmount&lt;&gt;"",HousingDepositAmount,"-1")</v>
      </c>
      <c r="G361" s="313" t="s">
        <v>1790</v>
      </c>
      <c r="H361" t="s">
        <v>584</v>
      </c>
      <c r="K361" t="str">
        <f t="shared" si="10"/>
        <v>&lt;HousingDepositAmount Question="C17"&gt;200&lt;/HousingDepositAmount&gt;</v>
      </c>
    </row>
    <row r="362" spans="4:11" ht="12.75">
      <c r="D362" t="s">
        <v>1791</v>
      </c>
      <c r="E362" s="254">
        <f>IF(HousingDepositRefundable1&lt;&gt;"",1,IF(HousingDepositRefundable2&lt;&gt;"",2,IF(HousingDepositRefundable3&lt;&gt;"",3,-1)))</f>
        <v>3</v>
      </c>
      <c r="F362" t="str">
        <f>"=If("&amp;D362&amp;"1&lt;&gt;"""",1,if("&amp;D362&amp;"2&lt;&gt;"""",2,if("&amp;D362&amp;"3&lt;&gt;"""",3,-1)))"</f>
        <v>=If(HousingDepositRefundable1&lt;&gt;"",1,if(HousingDepositRefundable2&lt;&gt;"",2,if(HousingDepositRefundable3&lt;&gt;"",3,-1)))</v>
      </c>
      <c r="G362" s="307" t="s">
        <v>1791</v>
      </c>
      <c r="H362" t="s">
        <v>584</v>
      </c>
      <c r="K362" t="str">
        <f t="shared" si="10"/>
        <v>&lt;HousingDepositRefundable Question="C17"&gt;3&lt;/HousingDepositRefundable&gt;</v>
      </c>
    </row>
    <row r="363" spans="4:11" ht="12.75">
      <c r="D363" t="s">
        <v>1792</v>
      </c>
      <c r="E363" s="254">
        <f>IF(MayPostponeEnrollment1&lt;&gt;"",1,IF(MayPostponeEnrollment2&lt;&gt;"",0,-1))</f>
        <v>1</v>
      </c>
      <c r="F363"/>
      <c r="G363" s="307" t="s">
        <v>1792</v>
      </c>
      <c r="H363" t="s">
        <v>585</v>
      </c>
      <c r="K363" t="str">
        <f t="shared" si="10"/>
        <v>&lt;MayPostponeEnrollment Question="C18"&gt;1&lt;/MayPostponeEnrollment&gt;</v>
      </c>
    </row>
    <row r="364" spans="4:11" ht="12.75">
      <c r="D364" t="s">
        <v>1793</v>
      </c>
      <c r="E364" s="321" t="str">
        <f>CLEAN(PostponeEnrollmentMaxPeriod)</f>
        <v>1 year</v>
      </c>
      <c r="F364" t="str">
        <f>"=Clean("&amp;D364&amp;")"</f>
        <v>=Clean(PostponeEnrollmentMaxPeriod)</v>
      </c>
      <c r="G364" s="307" t="s">
        <v>1793</v>
      </c>
      <c r="H364" t="s">
        <v>585</v>
      </c>
      <c r="J364">
        <v>1</v>
      </c>
      <c r="K364" t="str">
        <f t="shared" si="10"/>
        <v>&lt;PostponeEnrollmentMaxPeriod Question="C18"&gt;&lt;![CDATA[1 year]]&gt;&lt;/PostponeEnrollmentMaxPeriod&gt;</v>
      </c>
    </row>
    <row r="365" spans="4:11" ht="12.75">
      <c r="D365" t="s">
        <v>1794</v>
      </c>
      <c r="E365" s="254">
        <f>IF(EarlyAdmissionOfHighSchoolStudents1&lt;&gt;"",1,IF(EarlyAdmissionOfHighSchoolStudents2&lt;&gt;"",0,-1))</f>
        <v>1</v>
      </c>
      <c r="F365" t="str">
        <f>"=IF("&amp;D365&amp;"1&lt;&gt;"""",1,IF("&amp;D365&amp;"2&lt;&gt;"""",0,-1))"</f>
        <v>=IF(EarlyAdmissionOfHighSchoolStudents1&lt;&gt;"",1,IF(EarlyAdmissionOfHighSchoolStudents2&lt;&gt;"",0,-1))</v>
      </c>
      <c r="G365" s="307" t="s">
        <v>1794</v>
      </c>
      <c r="H365" t="s">
        <v>586</v>
      </c>
      <c r="K365" t="str">
        <f t="shared" si="10"/>
        <v>&lt;EarlyAdmissionOfHighSchoolStudents Question="C19"&gt;1&lt;/EarlyAdmissionOfHighSchoolStudents&gt;</v>
      </c>
    </row>
    <row r="366" spans="4:11" ht="12.75">
      <c r="D366" t="s">
        <v>1158</v>
      </c>
      <c r="E366" s="254">
        <f>IF(EarlyDecision1&lt;&gt;"",1,IF(EarlyDecision2&lt;&gt;"",0,-1))</f>
        <v>1</v>
      </c>
      <c r="F366"/>
      <c r="G366" s="307" t="s">
        <v>1158</v>
      </c>
      <c r="H366" t="s">
        <v>588</v>
      </c>
      <c r="K366" t="str">
        <f t="shared" si="10"/>
        <v>&lt;EarlyDecision Question="C21"&gt;1&lt;/EarlyDecision&gt;</v>
      </c>
    </row>
    <row r="367" spans="4:11" ht="12.75">
      <c r="D367" t="s">
        <v>1159</v>
      </c>
      <c r="E367" s="278" t="str">
        <f>IF(EarlyDesicionFirstClosingDate&gt;0,MONTH(EarlyDesicionFirstClosingDate)&amp;"/"&amp;DAY(EarlyDesicionFirstClosingDate),"-1")</f>
        <v>11/1</v>
      </c>
      <c r="F367" t="str">
        <f>"=IF("&amp;D367&amp;"&gt;0,MONTH("&amp;D367&amp;")&amp;""/""&amp;DAY("&amp;D367&amp;"),""-1"")"</f>
        <v>=IF(EarlyDesicionFirstClosingDate&gt;0,MONTH(EarlyDesicionFirstClosingDate)&amp;"/"&amp;DAY(EarlyDesicionFirstClosingDate),"-1")</v>
      </c>
      <c r="G367" s="314" t="s">
        <v>1159</v>
      </c>
      <c r="H367" t="s">
        <v>588</v>
      </c>
      <c r="K367" t="str">
        <f t="shared" si="10"/>
        <v>&lt;EarlyDesicionFirstClosingDate Question="C21"&gt;11/1&lt;/EarlyDesicionFirstClosingDate&gt;</v>
      </c>
    </row>
    <row r="368" spans="4:11" ht="12.75">
      <c r="D368" t="s">
        <v>1160</v>
      </c>
      <c r="E368" s="278" t="str">
        <f>IF(EarlyDesicionFirstNotificationDate&gt;0,MONTH(EarlyDesicionFirstNotificationDate)&amp;"/"&amp;DAY(EarlyDesicionFirstNotificationDate),"-1")</f>
        <v>12/1</v>
      </c>
      <c r="F368"/>
      <c r="G368" s="314" t="s">
        <v>1160</v>
      </c>
      <c r="H368" t="s">
        <v>588</v>
      </c>
      <c r="K368" t="str">
        <f aca="true" t="shared" si="11" ref="K368:K377">"&lt;"&amp;G368&amp;" Question="""&amp;H368&amp;"""&gt;"&amp;IF(J368=1,"&lt;![CDATA[","")&amp;E368&amp;IF(J368=1,"]]&gt;","")&amp;"&lt;/"&amp;G368&amp;"&gt;"</f>
        <v>&lt;EarlyDesicionFirstNotificationDate Question="C21"&gt;12/1&lt;/EarlyDesicionFirstNotificationDate&gt;</v>
      </c>
    </row>
    <row r="369" spans="4:11" ht="12.75">
      <c r="D369" t="s">
        <v>1162</v>
      </c>
      <c r="E369" s="278" t="str">
        <f>IF(EarlyDesicionOtherClosingDate&gt;0,MONTH(EarlyDesicionOtherClosingDate)&amp;"/"&amp;DAY(EarlyDesicionOtherClosingDate),"-1")</f>
        <v>-1</v>
      </c>
      <c r="F369"/>
      <c r="G369" s="314" t="s">
        <v>1162</v>
      </c>
      <c r="H369" t="s">
        <v>588</v>
      </c>
      <c r="K369" t="str">
        <f t="shared" si="11"/>
        <v>&lt;EarlyDesicionOtherClosingDate Question="C21"&gt;-1&lt;/EarlyDesicionOtherClosingDate&gt;</v>
      </c>
    </row>
    <row r="370" spans="4:11" ht="12.75">
      <c r="D370" t="s">
        <v>1161</v>
      </c>
      <c r="E370" s="278" t="str">
        <f>IF(EarlyDesicionOtherNotificationDate&gt;0,MONTH(EarlyDesicionOtherNotificationDate)&amp;"/"&amp;DAY(EarlyDesicionOtherNotificationDate),"-1")</f>
        <v>-1</v>
      </c>
      <c r="F370"/>
      <c r="G370" s="314" t="s">
        <v>1161</v>
      </c>
      <c r="H370" t="s">
        <v>588</v>
      </c>
      <c r="K370" t="str">
        <f t="shared" si="11"/>
        <v>&lt;EarlyDesicionOtherNotificationDate Question="C21"&gt;-1&lt;/EarlyDesicionOtherNotificationDate&gt;</v>
      </c>
    </row>
    <row r="371" spans="4:11" ht="12.75">
      <c r="D371" t="s">
        <v>1163</v>
      </c>
      <c r="E371" s="254">
        <f>IF(EarlyDesicionApplicationsReceived&lt;&gt;"",EarlyDesicionApplicationsReceived,-1)</f>
        <v>898</v>
      </c>
      <c r="F371" t="str">
        <f>"=if("&amp;D371&amp;"&lt;&gt;"""","&amp;D371&amp;",-1)"</f>
        <v>=if(EarlyDesicionApplicationsReceived&lt;&gt;"",EarlyDesicionApplicationsReceived,-1)</v>
      </c>
      <c r="G371" s="307" t="s">
        <v>1163</v>
      </c>
      <c r="H371" t="s">
        <v>588</v>
      </c>
      <c r="K371" t="str">
        <f t="shared" si="11"/>
        <v>&lt;EarlyDesicionApplicationsReceived Question="C21"&gt;898&lt;/EarlyDesicionApplicationsReceived&gt;</v>
      </c>
    </row>
    <row r="372" spans="4:11" ht="12.75">
      <c r="D372" t="s">
        <v>1164</v>
      </c>
      <c r="E372" s="254">
        <f>IF(EarlyDesicionApplicantsAdmitted&lt;&gt;"",EarlyDesicionApplicantsAdmitted,-1)</f>
        <v>409</v>
      </c>
      <c r="F372"/>
      <c r="G372" s="307" t="s">
        <v>1164</v>
      </c>
      <c r="H372" t="s">
        <v>588</v>
      </c>
      <c r="K372" t="str">
        <f t="shared" si="11"/>
        <v>&lt;EarlyDesicionApplicantsAdmitted Question="C21"&gt;409&lt;/EarlyDesicionApplicantsAdmitted&gt;</v>
      </c>
    </row>
    <row r="373" spans="4:11" ht="12.75">
      <c r="D373" t="s">
        <v>1165</v>
      </c>
      <c r="E373" s="254">
        <f>CLEAN(EarlyDecisionPolicyDetails)</f>
      </c>
      <c r="F373" t="str">
        <f>"=Clean("&amp;D373&amp;")"</f>
        <v>=Clean(EarlyDecisionPolicyDetails)</v>
      </c>
      <c r="G373" s="307" t="s">
        <v>1165</v>
      </c>
      <c r="H373" t="s">
        <v>588</v>
      </c>
      <c r="J373">
        <v>1</v>
      </c>
      <c r="K373" t="str">
        <f t="shared" si="11"/>
        <v>&lt;EarlyDecisionPolicyDetails Question="C21"&gt;&lt;![CDATA[]]&gt;&lt;/EarlyDecisionPolicyDetails&gt;</v>
      </c>
    </row>
    <row r="374" spans="4:11" ht="12.75">
      <c r="D374" t="s">
        <v>1166</v>
      </c>
      <c r="E374" s="254">
        <f>IF(EarlyAction1&lt;&gt;"",1,IF(EarlyAction2&lt;&gt;"",0,-1))</f>
        <v>0</v>
      </c>
      <c r="F374" t="str">
        <f>"=IF("&amp;D374&amp;"1&lt;&gt;"""",1,IF("&amp;D374&amp;"2&lt;&gt;"""",0,-1))"</f>
        <v>=IF(EarlyAction1&lt;&gt;"",1,IF(EarlyAction2&lt;&gt;"",0,-1))</v>
      </c>
      <c r="G374" s="307" t="s">
        <v>1166</v>
      </c>
      <c r="H374" t="s">
        <v>589</v>
      </c>
      <c r="K374" t="str">
        <f t="shared" si="11"/>
        <v>&lt;EarlyAction Question="C22"&gt;0&lt;/EarlyAction&gt;</v>
      </c>
    </row>
    <row r="375" spans="4:11" ht="12.75">
      <c r="D375" t="s">
        <v>1167</v>
      </c>
      <c r="E375" s="278" t="str">
        <f>IF(EarlyActionClosingDate&gt;0,MONTH(EarlyActionClosingDate)&amp;"/"&amp;DAY(EarlyActionClosingDate),"-1")</f>
        <v>-1</v>
      </c>
      <c r="F375" t="str">
        <f>"=IF("&amp;D375&amp;"&gt;0,MONTH("&amp;D375&amp;")&amp;""/""&amp;DAY("&amp;D375&amp;"),""-1"")"</f>
        <v>=IF(EarlyActionClosingDate&gt;0,MONTH(EarlyActionClosingDate)&amp;"/"&amp;DAY(EarlyActionClosingDate),"-1")</v>
      </c>
      <c r="G375" s="314" t="s">
        <v>1167</v>
      </c>
      <c r="H375" t="s">
        <v>589</v>
      </c>
      <c r="K375" t="str">
        <f t="shared" si="11"/>
        <v>&lt;EarlyActionClosingDate Question="C22"&gt;-1&lt;/EarlyActionClosingDate&gt;</v>
      </c>
    </row>
    <row r="376" spans="4:11" ht="12.75">
      <c r="D376" t="s">
        <v>1168</v>
      </c>
      <c r="E376" s="278" t="str">
        <f>IF(EarlyActionNotificationDate&gt;0,MONTH(EarlyActionNotificationDate)&amp;"/"&amp;DAY(EarlyActionNotificationDate),"-1")</f>
        <v>-1</v>
      </c>
      <c r="F376"/>
      <c r="G376" s="314" t="s">
        <v>1168</v>
      </c>
      <c r="H376" t="s">
        <v>589</v>
      </c>
      <c r="K376" t="str">
        <f t="shared" si="11"/>
        <v>&lt;EarlyActionNotificationDate Question="C22"&gt;-1&lt;/EarlyActionNotificationDate&gt;</v>
      </c>
    </row>
    <row r="377" spans="4:11" ht="12.75">
      <c r="D377" t="s">
        <v>1169</v>
      </c>
      <c r="E377" s="254">
        <f>IF(EarlyActionRestrictive1&lt;&gt;"",1,IF(EarlyActionRestrictive2&lt;&gt;"",0,-1))</f>
        <v>-1</v>
      </c>
      <c r="F377" t="str">
        <f>"=IF("&amp;D377&amp;"1&lt;&gt;"""",1,IF("&amp;D377&amp;"2&lt;&gt;"""",0,-1))"</f>
        <v>=IF(EarlyActionRestrictive1&lt;&gt;"",1,IF(EarlyActionRestrictive2&lt;&gt;"",0,-1))</v>
      </c>
      <c r="G377" s="307" t="s">
        <v>1169</v>
      </c>
      <c r="H377" t="s">
        <v>589</v>
      </c>
      <c r="K377" t="str">
        <f t="shared" si="11"/>
        <v>&lt;EarlyActionRestrictive Question="C22"&gt;-1&lt;/EarlyActionRestrictive&gt;</v>
      </c>
    </row>
    <row r="378" spans="5:11" ht="12.75">
      <c r="E378" s="255"/>
      <c r="F378"/>
      <c r="G378" s="308"/>
      <c r="K378" t="s">
        <v>987</v>
      </c>
    </row>
    <row r="379" spans="2:11" ht="12.75">
      <c r="B379" t="s">
        <v>1170</v>
      </c>
      <c r="F379"/>
      <c r="K379" t="s">
        <v>988</v>
      </c>
    </row>
    <row r="380" spans="4:11" ht="12.75">
      <c r="D380" t="s">
        <v>1171</v>
      </c>
      <c r="E380" s="254">
        <f>IF(TransfersAccepted1&lt;&gt;"",1,IF(TransfersAccepted2&lt;&gt;"",0,-1))</f>
        <v>1</v>
      </c>
      <c r="F380" t="str">
        <f>"=IF("&amp;D380&amp;"1&lt;&gt;"""",1,IF("&amp;D380&amp;"2&lt;&gt;"""",0,-1))"</f>
        <v>=IF(TransfersAccepted1&lt;&gt;"",1,IF(TransfersAccepted2&lt;&gt;"",0,-1))</v>
      </c>
      <c r="G380" s="307" t="s">
        <v>1171</v>
      </c>
      <c r="H380" t="s">
        <v>533</v>
      </c>
      <c r="K380" t="str">
        <f aca="true" t="shared" si="12" ref="K380:K411">"&lt;"&amp;G380&amp;" Question="""&amp;H380&amp;"""&gt;"&amp;IF(J380=1,"&lt;![CDATA[","")&amp;E380&amp;IF(J380=1,"]]&gt;","")&amp;"&lt;/"&amp;G380&amp;"&gt;"</f>
        <v>&lt;TransfersAccepted Question="D1"&gt;1&lt;/TransfersAccepted&gt;</v>
      </c>
    </row>
    <row r="381" spans="4:11" ht="12.75">
      <c r="D381" t="s">
        <v>1172</v>
      </c>
      <c r="E381" s="254">
        <f>IF(TransferCredit1&lt;&gt;"",1,IF(TransferCredit2&lt;&gt;"",0,-1))</f>
        <v>1</v>
      </c>
      <c r="F381" t="str">
        <f>"=IF("&amp;D381&amp;"1&lt;&gt;"""",1,IF("&amp;D381&amp;"2&lt;&gt;"""",0,-1))"</f>
        <v>=IF(TransferCredit1&lt;&gt;"",1,IF(TransferCredit2&lt;&gt;"",0,-1))</v>
      </c>
      <c r="G381" s="307" t="s">
        <v>1172</v>
      </c>
      <c r="H381" t="s">
        <v>533</v>
      </c>
      <c r="K381" t="str">
        <f t="shared" si="12"/>
        <v>&lt;TransferCredit Question="D1"&gt;1&lt;/TransferCredit&gt;</v>
      </c>
    </row>
    <row r="382" spans="4:11" ht="12.75">
      <c r="D382" t="s">
        <v>1173</v>
      </c>
      <c r="E382" s="269">
        <f>IF(TransferApplicantsMale&lt;&gt;"",TransferApplicantsMale,-1)</f>
        <v>248</v>
      </c>
      <c r="F382" t="str">
        <f>"=if("&amp;D382&amp;"&lt;&gt;"""","&amp;D382&amp;",-1)"</f>
        <v>=if(TransferApplicantsMale&lt;&gt;"",TransferApplicantsMale,-1)</v>
      </c>
      <c r="G382" s="311" t="s">
        <v>1173</v>
      </c>
      <c r="H382" t="s">
        <v>534</v>
      </c>
      <c r="K382" t="str">
        <f t="shared" si="12"/>
        <v>&lt;TransferApplicantsMale Question="D2"&gt;248&lt;/TransferApplicantsMale&gt;</v>
      </c>
    </row>
    <row r="383" spans="4:11" ht="12.75">
      <c r="D383" t="s">
        <v>1174</v>
      </c>
      <c r="E383" s="269">
        <f>IF(TransferApplicantsAdmittedMale&lt;&gt;"",TransferApplicantsAdmittedMale,-1)</f>
        <v>126</v>
      </c>
      <c r="F383"/>
      <c r="G383" s="311" t="s">
        <v>1174</v>
      </c>
      <c r="H383" t="s">
        <v>534</v>
      </c>
      <c r="K383" t="str">
        <f t="shared" si="12"/>
        <v>&lt;TransferApplicantsAdmittedMale Question="D2"&gt;126&lt;/TransferApplicantsAdmittedMale&gt;</v>
      </c>
    </row>
    <row r="384" spans="4:11" ht="12.75">
      <c r="D384" t="s">
        <v>1175</v>
      </c>
      <c r="E384" s="269">
        <f>IF(TransferApplicantsEnrolledMale&lt;&gt;"",TransferApplicantsEnrolledMale,-1)</f>
        <v>71</v>
      </c>
      <c r="F384"/>
      <c r="G384" s="311" t="s">
        <v>1175</v>
      </c>
      <c r="H384" t="s">
        <v>534</v>
      </c>
      <c r="K384" t="str">
        <f t="shared" si="12"/>
        <v>&lt;TransferApplicantsEnrolledMale Question="D2"&gt;71&lt;/TransferApplicantsEnrolledMale&gt;</v>
      </c>
    </row>
    <row r="385" spans="4:11" ht="12.75">
      <c r="D385" t="s">
        <v>1176</v>
      </c>
      <c r="E385" s="269">
        <f>IF(TransferApplicantsFemale&lt;&gt;"",TransferApplicantsFemale,-1)</f>
        <v>400</v>
      </c>
      <c r="F385"/>
      <c r="G385" s="311" t="s">
        <v>1176</v>
      </c>
      <c r="H385" t="s">
        <v>534</v>
      </c>
      <c r="K385" t="str">
        <f t="shared" si="12"/>
        <v>&lt;TransferApplicantsFemale Question="D2"&gt;400&lt;/TransferApplicantsFemale&gt;</v>
      </c>
    </row>
    <row r="386" spans="4:11" ht="12.75">
      <c r="D386" t="s">
        <v>1177</v>
      </c>
      <c r="E386" s="269">
        <f>IF(TransferApplicantsAdmittedFemale&lt;&gt;"",TransferApplicantsAdmittedFemale,-1)</f>
        <v>206</v>
      </c>
      <c r="F386"/>
      <c r="G386" s="311" t="s">
        <v>1177</v>
      </c>
      <c r="H386" t="s">
        <v>534</v>
      </c>
      <c r="K386" t="str">
        <f t="shared" si="12"/>
        <v>&lt;TransferApplicantsAdmittedFemale Question="D2"&gt;206&lt;/TransferApplicantsAdmittedFemale&gt;</v>
      </c>
    </row>
    <row r="387" spans="4:11" ht="12.75">
      <c r="D387" t="s">
        <v>1178</v>
      </c>
      <c r="E387" s="269">
        <f>IF(TransferApplicantsEnrolledFemale&lt;&gt;"",TransferApplicantsEnrolledFemale,-1)</f>
        <v>121</v>
      </c>
      <c r="F387"/>
      <c r="G387" s="311" t="s">
        <v>1178</v>
      </c>
      <c r="H387" t="s">
        <v>534</v>
      </c>
      <c r="K387" t="str">
        <f t="shared" si="12"/>
        <v>&lt;TransferApplicantsEnrolledFemale Question="D2"&gt;121&lt;/TransferApplicantsEnrolledFemale&gt;</v>
      </c>
    </row>
    <row r="388" spans="4:11" ht="12.75">
      <c r="D388" t="s">
        <v>1179</v>
      </c>
      <c r="E388" s="269">
        <f>IF(TransferApplicantsTotal&lt;&gt;"",TransferApplicantsTotal,-1)</f>
        <v>648</v>
      </c>
      <c r="F388"/>
      <c r="G388" s="307" t="s">
        <v>1179</v>
      </c>
      <c r="H388" t="s">
        <v>534</v>
      </c>
      <c r="K388" t="str">
        <f t="shared" si="12"/>
        <v>&lt;TransferApplicantsTotal Question="D2"&gt;648&lt;/TransferApplicantsTotal&gt;</v>
      </c>
    </row>
    <row r="389" spans="4:11" ht="12.75">
      <c r="D389" t="s">
        <v>1180</v>
      </c>
      <c r="E389" s="269">
        <f>IF(TransferApplicantsAdmittedTotal&lt;&gt;"",TransferApplicantsAdmittedTotal,-1)</f>
        <v>332</v>
      </c>
      <c r="F389"/>
      <c r="G389" s="307" t="s">
        <v>1180</v>
      </c>
      <c r="H389" t="s">
        <v>534</v>
      </c>
      <c r="K389" t="str">
        <f t="shared" si="12"/>
        <v>&lt;TransferApplicantsAdmittedTotal Question="D2"&gt;332&lt;/TransferApplicantsAdmittedTotal&gt;</v>
      </c>
    </row>
    <row r="390" spans="4:11" ht="12.75">
      <c r="D390" t="s">
        <v>1181</v>
      </c>
      <c r="E390" s="269">
        <f>IF(TransferApplicantsEnrolledTotal&lt;&gt;"",TransferApplicantsEnrolledTotal,-1)</f>
        <v>192</v>
      </c>
      <c r="F390"/>
      <c r="G390" s="307" t="s">
        <v>1181</v>
      </c>
      <c r="H390" t="s">
        <v>534</v>
      </c>
      <c r="K390" t="str">
        <f t="shared" si="12"/>
        <v>&lt;TransferApplicantsEnrolledTotal Question="D2"&gt;192&lt;/TransferApplicantsEnrolledTotal&gt;</v>
      </c>
    </row>
    <row r="391" spans="4:11" ht="12.75">
      <c r="D391" t="s">
        <v>1182</v>
      </c>
      <c r="E391" s="254" t="str">
        <f>IF(TransferTermFall&lt;&gt;"","True","False")</f>
        <v>True</v>
      </c>
      <c r="F391" t="str">
        <f>"=IF("&amp;D391&amp;"&lt;&gt;"""",""True"",""False"")"</f>
        <v>=IF(TransferTermFall&lt;&gt;"","True","False")</v>
      </c>
      <c r="G391" s="307" t="s">
        <v>1182</v>
      </c>
      <c r="H391" t="s">
        <v>535</v>
      </c>
      <c r="K391" t="str">
        <f t="shared" si="12"/>
        <v>&lt;TransferTermFall Question="D3"&gt;True&lt;/TransferTermFall&gt;</v>
      </c>
    </row>
    <row r="392" spans="4:11" ht="12.75">
      <c r="D392" t="s">
        <v>1183</v>
      </c>
      <c r="E392" s="254" t="str">
        <f>IF(TransferTermWinter&lt;&gt;"","True","False")</f>
        <v>False</v>
      </c>
      <c r="F392" t="str">
        <f>"=IF("&amp;D392&amp;"&lt;&gt;"""",""True"",""False"")"</f>
        <v>=IF(TransferTermWinter&lt;&gt;"","True","False")</v>
      </c>
      <c r="G392" s="307" t="s">
        <v>1183</v>
      </c>
      <c r="H392" t="s">
        <v>535</v>
      </c>
      <c r="K392" t="str">
        <f t="shared" si="12"/>
        <v>&lt;TransferTermWinter Question="D3"&gt;False&lt;/TransferTermWinter&gt;</v>
      </c>
    </row>
    <row r="393" spans="4:11" ht="12.75">
      <c r="D393" t="s">
        <v>1184</v>
      </c>
      <c r="E393" s="254" t="str">
        <f>IF(TransferTermSpring&lt;&gt;"","True","False")</f>
        <v>True</v>
      </c>
      <c r="F393" t="str">
        <f>"=IF("&amp;D393&amp;"&lt;&gt;"""",""True"",""False"")"</f>
        <v>=IF(TransferTermSpring&lt;&gt;"","True","False")</v>
      </c>
      <c r="G393" s="307" t="s">
        <v>1184</v>
      </c>
      <c r="H393" t="s">
        <v>535</v>
      </c>
      <c r="K393" t="str">
        <f t="shared" si="12"/>
        <v>&lt;TransferTermSpring Question="D3"&gt;True&lt;/TransferTermSpring&gt;</v>
      </c>
    </row>
    <row r="394" spans="4:11" ht="12.75">
      <c r="D394" t="s">
        <v>1185</v>
      </c>
      <c r="E394" s="254" t="str">
        <f>IF(TransferTermSummer&lt;&gt;"","True","False")</f>
        <v>False</v>
      </c>
      <c r="F394" t="str">
        <f>"=IF("&amp;D394&amp;"&lt;&gt;"""",""True"",""False"")"</f>
        <v>=IF(TransferTermSummer&lt;&gt;"","True","False")</v>
      </c>
      <c r="G394" s="307" t="s">
        <v>1185</v>
      </c>
      <c r="H394" t="s">
        <v>535</v>
      </c>
      <c r="K394" t="str">
        <f t="shared" si="12"/>
        <v>&lt;TransferTermSummer Question="D3"&gt;False&lt;/TransferTermSummer&gt;</v>
      </c>
    </row>
    <row r="395" spans="4:11" ht="12.75">
      <c r="D395" t="s">
        <v>1187</v>
      </c>
      <c r="E395" s="254">
        <f>IF(TransferMinimumCredits1&lt;&gt;"",1,IF(TransferMinimumCredits2&lt;&gt;"",0,-1))</f>
        <v>1</v>
      </c>
      <c r="F395" t="str">
        <f>"=IF("&amp;D395&amp;"1&lt;&gt;"""",1,IF("&amp;D395&amp;"2&lt;&gt;"""",0,-1))"</f>
        <v>=IF(TransferMinimumCredits1&lt;&gt;"",1,IF(TransferMinimumCredits2&lt;&gt;"",0,-1))</v>
      </c>
      <c r="G395" s="307" t="s">
        <v>1187</v>
      </c>
      <c r="H395" t="s">
        <v>536</v>
      </c>
      <c r="K395" t="str">
        <f t="shared" si="12"/>
        <v>&lt;TransferMinimumCredits Question="D4"&gt;1&lt;/TransferMinimumCredits&gt;</v>
      </c>
    </row>
    <row r="396" spans="4:11" ht="12.75">
      <c r="D396" t="s">
        <v>1188</v>
      </c>
      <c r="E396" s="254">
        <f>IF(TransferMinimumCreditsNeeded&lt;&gt;"",TransferMinimumCreditsNeeded,-1)</f>
        <v>15</v>
      </c>
      <c r="F396" t="str">
        <f>"=if("&amp;D396&amp;"&lt;&gt;"""","&amp;D396&amp;",-1)"</f>
        <v>=if(TransferMinimumCreditsNeeded&lt;&gt;"",TransferMinimumCreditsNeeded,-1)</v>
      </c>
      <c r="G396" s="307" t="s">
        <v>1188</v>
      </c>
      <c r="H396" t="s">
        <v>536</v>
      </c>
      <c r="K396" t="str">
        <f t="shared" si="12"/>
        <v>&lt;TransferMinimumCreditsNeeded Question="D4"&gt;15&lt;/TransferMinimumCreditsNeeded&gt;</v>
      </c>
    </row>
    <row r="397" spans="4:11" ht="12.75">
      <c r="D397" t="s">
        <v>1191</v>
      </c>
      <c r="E397" s="254" t="str">
        <f>CLEAN(TransferCreditUnit)</f>
        <v>sem crhr</v>
      </c>
      <c r="F397" t="str">
        <f>"=Clean("&amp;D397&amp;")"</f>
        <v>=Clean(TransferCreditUnit)</v>
      </c>
      <c r="G397" s="307" t="s">
        <v>1191</v>
      </c>
      <c r="H397" t="s">
        <v>536</v>
      </c>
      <c r="J397">
        <v>1</v>
      </c>
      <c r="K397" t="str">
        <f t="shared" si="12"/>
        <v>&lt;TransferCreditUnit Question="D4"&gt;&lt;![CDATA[sem crhr]]&gt;&lt;/TransferCreditUnit&gt;</v>
      </c>
    </row>
    <row r="398" spans="4:11" ht="12.75">
      <c r="D398" t="s">
        <v>181</v>
      </c>
      <c r="E398" s="254">
        <f>IF(TransferRequirementsHighSchoolTranscript_1&lt;&gt;"",1,IF(TransferRequirementsHighSchoolTranscript_2&lt;&gt;"",2,IF(TransferRequirementsHighSchoolTranscript_3&lt;&gt;"",3,IF(TransferRequirementsHighSchoolTranscript_4&lt;&gt;"",4,IF(TransferRequirementsHighSchoolTranscript_5&lt;&gt;"",5,-1)))))</f>
        <v>1</v>
      </c>
      <c r="F398" t="str">
        <f>"=If("&amp;D398&amp;"_1&lt;&gt;"""",1,if("&amp;D398&amp;"_2&lt;&gt;"""",2,if("&amp;D398&amp;"_3&lt;&gt;"""",3,if("&amp;D398&amp;"_4&lt;&gt;"""",4,if("&amp;D398&amp;"_5&lt;&gt;"""",5,-1)))))"</f>
        <v>=If(TransferRequirementsHighSchoolTranscript_1&lt;&gt;"",1,if(TransferRequirementsHighSchoolTranscript_2&lt;&gt;"",2,if(TransferRequirementsHighSchoolTranscript_3&lt;&gt;"",3,if(TransferRequirementsHighSchoolTranscript_4&lt;&gt;"",4,if(TransferRequirementsHighSchoolTranscript_5&lt;&gt;"",5,-1)))))</v>
      </c>
      <c r="G398" s="307" t="s">
        <v>181</v>
      </c>
      <c r="H398" t="s">
        <v>537</v>
      </c>
      <c r="K398" t="str">
        <f t="shared" si="12"/>
        <v>&lt;TransferRequirementsHighSchoolTranscript Question="D5"&gt;1&lt;/TransferRequirementsHighSchoolTranscript&gt;</v>
      </c>
    </row>
    <row r="399" spans="4:11" ht="12.75">
      <c r="D399" t="s">
        <v>180</v>
      </c>
      <c r="E399" s="254">
        <f>IF(TransferRequirementsCollegeTranscript_1&lt;&gt;"",1,IF(TransferRequirementsCollegeTranscript_2&lt;&gt;"",2,IF(TransferRequirementsCollegeTranscript_3&lt;&gt;"",3,IF(TransferRequirementsCollegeTranscript_4&lt;&gt;"",4,IF(TransferRequirementsCollegeTranscript_5&lt;&gt;"",5,-1)))))</f>
        <v>1</v>
      </c>
      <c r="F399"/>
      <c r="G399" s="307" t="s">
        <v>180</v>
      </c>
      <c r="H399" t="s">
        <v>537</v>
      </c>
      <c r="K399" t="str">
        <f t="shared" si="12"/>
        <v>&lt;TransferRequirementsCollegeTranscript Question="D5"&gt;1&lt;/TransferRequirementsCollegeTranscript&gt;</v>
      </c>
    </row>
    <row r="400" spans="4:11" ht="12.75">
      <c r="D400" t="s">
        <v>182</v>
      </c>
      <c r="E400" s="254">
        <f>IF(TransferRequirementsEssay_1&lt;&gt;"",1,IF(TransferRequirementsEssay_2&lt;&gt;"",2,IF(TransferRequirementsEssay_3&lt;&gt;"",3,IF(TransferRequirementsEssay_4&lt;&gt;"",4,IF(TransferRequirementsEssay_5&lt;&gt;"",5,-1)))))</f>
        <v>1</v>
      </c>
      <c r="F400"/>
      <c r="G400" s="307" t="s">
        <v>182</v>
      </c>
      <c r="H400" t="s">
        <v>537</v>
      </c>
      <c r="K400" t="str">
        <f t="shared" si="12"/>
        <v>&lt;TransferRequirementsEssay Question="D5"&gt;1&lt;/TransferRequirementsEssay&gt;</v>
      </c>
    </row>
    <row r="401" spans="4:11" ht="12.75">
      <c r="D401" t="s">
        <v>183</v>
      </c>
      <c r="E401" s="254">
        <f>IF(TransferRequirementsInterview_1&lt;&gt;"",1,IF(TransferRequirementsInterview_2&lt;&gt;"",2,IF(TransferRequirementsInterview_3&lt;&gt;"",3,IF(TransferRequirementsInterview_4&lt;&gt;"",4,IF(TransferRequirementsInterview_5&lt;&gt;"",5,-1)))))</f>
        <v>5</v>
      </c>
      <c r="F401"/>
      <c r="G401" s="307" t="s">
        <v>183</v>
      </c>
      <c r="H401" t="s">
        <v>537</v>
      </c>
      <c r="K401" t="str">
        <f t="shared" si="12"/>
        <v>&lt;TransferRequirementsInterview Question="D5"&gt;5&lt;/TransferRequirementsInterview&gt;</v>
      </c>
    </row>
    <row r="402" spans="4:11" ht="12.75">
      <c r="D402" t="s">
        <v>184</v>
      </c>
      <c r="E402" s="254">
        <f>IF(TransferRequirementsSAT_1&lt;&gt;"",1,IF(TransferRequirementsSAT_2&lt;&gt;"",2,IF(TransferRequirementsSAT_3&lt;&gt;"",3,IF(TransferRequirementsSAT_4&lt;&gt;"",4,IF(TransferRequirementsSAT_5&lt;&gt;"",5,-1)))))</f>
        <v>4</v>
      </c>
      <c r="F402"/>
      <c r="G402" s="307" t="s">
        <v>184</v>
      </c>
      <c r="H402" t="s">
        <v>537</v>
      </c>
      <c r="K402" t="str">
        <f t="shared" si="12"/>
        <v>&lt;TransferRequirementsSAT Question="D5"&gt;4&lt;/TransferRequirementsSAT&gt;</v>
      </c>
    </row>
    <row r="403" spans="4:11" ht="12.75">
      <c r="D403" t="s">
        <v>185</v>
      </c>
      <c r="E403" s="254">
        <f>IF(TransferRequirementsStatementOfGoodStanding_1&lt;&gt;"",1,IF(TransferRequirementsStatementOfGoodStanding_2&lt;&gt;"",2,IF(TransferRequirementsStatementOfGoodStanding_3&lt;&gt;"",3,IF(TransferRequirementsStatementOfGoodStanding_4&lt;&gt;"",4,IF(TransferRequirementsStatementOfGoodStanding_5&lt;&gt;"",5,-1)))))</f>
        <v>1</v>
      </c>
      <c r="F403"/>
      <c r="G403" s="307" t="s">
        <v>185</v>
      </c>
      <c r="H403" t="s">
        <v>537</v>
      </c>
      <c r="K403" t="str">
        <f t="shared" si="12"/>
        <v>&lt;TransferRequirementsStatementOfGoodStanding Question="D5"&gt;1&lt;/TransferRequirementsStatementOfGoodStanding&gt;</v>
      </c>
    </row>
    <row r="404" spans="4:11" ht="12.75">
      <c r="D404" t="s">
        <v>186</v>
      </c>
      <c r="E404" s="268" t="str">
        <f>IF(TransferMinimumHighSchoolGPA&lt;&gt;"",TransferMinimumHighSchoolGPA,"-1")</f>
        <v>-1</v>
      </c>
      <c r="F404"/>
      <c r="G404" s="310" t="s">
        <v>186</v>
      </c>
      <c r="H404" t="s">
        <v>542</v>
      </c>
      <c r="K404" t="str">
        <f t="shared" si="12"/>
        <v>&lt;TransferMinimumHighSchoolGPA Question="D6"&gt;-1&lt;/TransferMinimumHighSchoolGPA&gt;</v>
      </c>
    </row>
    <row r="405" spans="4:11" ht="12.75">
      <c r="D405" t="s">
        <v>187</v>
      </c>
      <c r="E405" s="268">
        <f>IF(TransferMinimumCollegeGPA&lt;&gt;"",TransferMinimumCollegeGPA,"-1")</f>
        <v>3</v>
      </c>
      <c r="F405"/>
      <c r="G405" s="310" t="s">
        <v>187</v>
      </c>
      <c r="H405" t="s">
        <v>543</v>
      </c>
      <c r="K405" t="str">
        <f t="shared" si="12"/>
        <v>&lt;TransferMinimumCollegeGPA Question="D7"&gt;3&lt;/TransferMinimumCollegeGPA&gt;</v>
      </c>
    </row>
    <row r="406" spans="4:11" ht="12.75">
      <c r="D406" t="s">
        <v>208</v>
      </c>
      <c r="E406" s="268" t="str">
        <f>IF(TransferRequirementsOther&lt;&gt;"",TransferRequirementsOther,"")</f>
        <v>The admission committee prefers a cumulative gpa of 3.5 or higher and considers other factors such as strength of curriculum.</v>
      </c>
      <c r="F406" t="str">
        <f>"=IF("&amp;D406&amp;"&lt;&gt;"""","&amp;D406&amp;","""")"</f>
        <v>=IF(TransferRequirementsOther&lt;&gt;"",TransferRequirementsOther,"")</v>
      </c>
      <c r="G406" s="310" t="s">
        <v>208</v>
      </c>
      <c r="H406" t="s">
        <v>544</v>
      </c>
      <c r="J406">
        <v>1</v>
      </c>
      <c r="K406" t="str">
        <f t="shared" si="12"/>
        <v>&lt;TransferRequirementsOther Question="D8"&gt;&lt;![CDATA[The admission committee prefers a cumulative gpa of 3.5 or higher and considers other factors such as strength of curriculum.]]&gt;&lt;/TransferRequirementsOther&gt;</v>
      </c>
    </row>
    <row r="407" spans="4:11" ht="12.75">
      <c r="D407" t="s">
        <v>188</v>
      </c>
      <c r="E407" s="278" t="str">
        <f>IF(TransferFallPriorityDate&gt;0,MONTH(TransferFallPriorityDate)&amp;"/"&amp;DAY(TransferFallPriorityDate),"-1")</f>
        <v>-1</v>
      </c>
      <c r="F407" t="str">
        <f>"=IF("&amp;D407&amp;"&gt;0,MONTH("&amp;D407&amp;")&amp;""/""&amp;DAY("&amp;D407&amp;"),""-1"")"</f>
        <v>=IF(TransferFallPriorityDate&gt;0,MONTH(TransferFallPriorityDate)&amp;"/"&amp;DAY(TransferFallPriorityDate),"-1")</v>
      </c>
      <c r="G407" s="314" t="s">
        <v>188</v>
      </c>
      <c r="H407" t="s">
        <v>859</v>
      </c>
      <c r="K407" t="str">
        <f t="shared" si="12"/>
        <v>&lt;TransferFallPriorityDate Question="D9"&gt;-1&lt;/TransferFallPriorityDate&gt;</v>
      </c>
    </row>
    <row r="408" spans="4:11" ht="12.75">
      <c r="D408" t="s">
        <v>189</v>
      </c>
      <c r="E408" s="278" t="str">
        <f>IF(TransferFallClosingDate&gt;0,MONTH(TransferFallClosingDate)&amp;"/"&amp;DAY(TransferFallClosingDate),"-1")</f>
        <v>2/15</v>
      </c>
      <c r="F408"/>
      <c r="G408" s="314" t="s">
        <v>189</v>
      </c>
      <c r="H408" t="s">
        <v>859</v>
      </c>
      <c r="K408" t="str">
        <f t="shared" si="12"/>
        <v>&lt;TransferFallClosingDate Question="D9"&gt;2/15&lt;/TransferFallClosingDate&gt;</v>
      </c>
    </row>
    <row r="409" spans="4:11" ht="12.75">
      <c r="D409" t="s">
        <v>204</v>
      </c>
      <c r="E409" s="254" t="str">
        <f>IF(TransferFallRollingAdmission&lt;&gt;"","True","False")</f>
        <v>False</v>
      </c>
      <c r="F409" t="str">
        <f>"=IF("&amp;D409&amp;"&lt;&gt;"""",""True"",""False"")"</f>
        <v>=IF(TransferFallRollingAdmission&lt;&gt;"","True","False")</v>
      </c>
      <c r="G409" s="307" t="s">
        <v>204</v>
      </c>
      <c r="H409" t="s">
        <v>859</v>
      </c>
      <c r="K409" t="str">
        <f t="shared" si="12"/>
        <v>&lt;TransferFallRollingAdmission Question="D9"&gt;False&lt;/TransferFallRollingAdmission&gt;</v>
      </c>
    </row>
    <row r="410" spans="4:11" ht="12.75">
      <c r="D410" t="s">
        <v>190</v>
      </c>
      <c r="E410" s="278" t="str">
        <f>IF(TransferFallNotificationDate&gt;0,MONTH(TransferFallNotificationDate)&amp;"/"&amp;DAY(TransferFallNotificationDate),"-1")</f>
        <v>4/15</v>
      </c>
      <c r="F410" t="str">
        <f>"=IF("&amp;D410&amp;"&gt;0,MONTH("&amp;D410&amp;")&amp;""/""&amp;DAY("&amp;D410&amp;"),""-1"")"</f>
        <v>=IF(TransferFallNotificationDate&gt;0,MONTH(TransferFallNotificationDate)&amp;"/"&amp;DAY(TransferFallNotificationDate),"-1")</v>
      </c>
      <c r="G410" s="314" t="s">
        <v>190</v>
      </c>
      <c r="H410" t="s">
        <v>859</v>
      </c>
      <c r="K410" t="str">
        <f t="shared" si="12"/>
        <v>&lt;TransferFallNotificationDate Question="D9"&gt;4/15&lt;/TransferFallNotificationDate&gt;</v>
      </c>
    </row>
    <row r="411" spans="4:11" ht="12.75">
      <c r="D411" t="s">
        <v>191</v>
      </c>
      <c r="E411" s="278" t="str">
        <f>IF(TransferFallReplyDate&gt;0,MONTH(TransferFallReplyDate)&amp;"/"&amp;DAY(TransferFallReplyDate),"-1")</f>
        <v>5/1</v>
      </c>
      <c r="F411"/>
      <c r="G411" s="314" t="s">
        <v>191</v>
      </c>
      <c r="H411" t="s">
        <v>859</v>
      </c>
      <c r="K411" t="str">
        <f t="shared" si="12"/>
        <v>&lt;TransferFallReplyDate Question="D9"&gt;5/1&lt;/TransferFallReplyDate&gt;</v>
      </c>
    </row>
    <row r="412" spans="4:11" ht="12.75">
      <c r="D412" t="s">
        <v>192</v>
      </c>
      <c r="E412" s="278" t="str">
        <f>IF(TransferWinterPriorityDate&gt;0,MONTH(TransferWinterPriorityDate)&amp;"/"&amp;DAY(TransferWinterPriorityDate),"-1")</f>
        <v>-1</v>
      </c>
      <c r="F412"/>
      <c r="G412" s="314" t="s">
        <v>192</v>
      </c>
      <c r="H412" t="s">
        <v>859</v>
      </c>
      <c r="K412" t="str">
        <f aca="true" t="shared" si="13" ref="K412:K436">"&lt;"&amp;G412&amp;" Question="""&amp;H412&amp;"""&gt;"&amp;IF(J412=1,"&lt;![CDATA[","")&amp;E412&amp;IF(J412=1,"]]&gt;","")&amp;"&lt;/"&amp;G412&amp;"&gt;"</f>
        <v>&lt;TransferWinterPriorityDate Question="D9"&gt;-1&lt;/TransferWinterPriorityDate&gt;</v>
      </c>
    </row>
    <row r="413" spans="4:11" ht="12.75">
      <c r="D413" t="s">
        <v>193</v>
      </c>
      <c r="E413" s="278" t="str">
        <f>IF(TransferWinterClosingDate&gt;0,MONTH(TransferWinterClosingDate)&amp;"/"&amp;DAY(TransferWinterClosingDate),"-1")</f>
        <v>-1</v>
      </c>
      <c r="F413"/>
      <c r="G413" s="314" t="s">
        <v>193</v>
      </c>
      <c r="H413" t="s">
        <v>859</v>
      </c>
      <c r="K413" t="str">
        <f t="shared" si="13"/>
        <v>&lt;TransferWinterClosingDate Question="D9"&gt;-1&lt;/TransferWinterClosingDate&gt;</v>
      </c>
    </row>
    <row r="414" spans="4:11" ht="12.75">
      <c r="D414" t="s">
        <v>205</v>
      </c>
      <c r="E414" s="254" t="str">
        <f>IF(TransferWinterRollingAdmission&lt;&gt;"","True","False")</f>
        <v>False</v>
      </c>
      <c r="F414" t="str">
        <f>"=IF("&amp;D414&amp;"&lt;&gt;"""",""True"",""False"")"</f>
        <v>=IF(TransferWinterRollingAdmission&lt;&gt;"","True","False")</v>
      </c>
      <c r="G414" s="307" t="s">
        <v>205</v>
      </c>
      <c r="H414" t="s">
        <v>859</v>
      </c>
      <c r="K414" t="str">
        <f t="shared" si="13"/>
        <v>&lt;TransferWinterRollingAdmission Question="D9"&gt;False&lt;/TransferWinterRollingAdmission&gt;</v>
      </c>
    </row>
    <row r="415" spans="4:11" ht="12.75">
      <c r="D415" t="s">
        <v>194</v>
      </c>
      <c r="E415" s="278" t="str">
        <f>IF(TransferWinterNotificationDate&gt;0,MONTH(TransferWinterNotificationDate)&amp;"/"&amp;DAY(TransferWinterNotificationDate),"-1")</f>
        <v>-1</v>
      </c>
      <c r="F415" t="str">
        <f>"=IF("&amp;D415&amp;"&gt;0,MONTH("&amp;D415&amp;")&amp;""/""&amp;DAY("&amp;D415&amp;"),""-1"")"</f>
        <v>=IF(TransferWinterNotificationDate&gt;0,MONTH(TransferWinterNotificationDate)&amp;"/"&amp;DAY(TransferWinterNotificationDate),"-1")</v>
      </c>
      <c r="G415" s="314" t="s">
        <v>194</v>
      </c>
      <c r="H415" t="s">
        <v>859</v>
      </c>
      <c r="K415" t="str">
        <f t="shared" si="13"/>
        <v>&lt;TransferWinterNotificationDate Question="D9"&gt;-1&lt;/TransferWinterNotificationDate&gt;</v>
      </c>
    </row>
    <row r="416" spans="4:11" ht="12.75">
      <c r="D416" t="s">
        <v>195</v>
      </c>
      <c r="E416" s="278" t="str">
        <f>IF(TransferWinterReplyDate&gt;0,MONTH(TransferWinterReplyDate)&amp;"/"&amp;DAY(TransferWinterReplyDate),"-1")</f>
        <v>-1</v>
      </c>
      <c r="F416"/>
      <c r="G416" s="314" t="s">
        <v>195</v>
      </c>
      <c r="H416" t="s">
        <v>859</v>
      </c>
      <c r="K416" t="str">
        <f t="shared" si="13"/>
        <v>&lt;TransferWinterReplyDate Question="D9"&gt;-1&lt;/TransferWinterReplyDate&gt;</v>
      </c>
    </row>
    <row r="417" spans="4:11" ht="12.75">
      <c r="D417" t="s">
        <v>196</v>
      </c>
      <c r="E417" s="278" t="str">
        <f>IF(TransferSpringPriorityDate&gt;0,MONTH(TransferSpringPriorityDate)&amp;"/"&amp;DAY(TransferSpringPriorityDate),"-1")</f>
        <v>-1</v>
      </c>
      <c r="F417"/>
      <c r="G417" s="314" t="s">
        <v>196</v>
      </c>
      <c r="H417" t="s">
        <v>859</v>
      </c>
      <c r="K417" t="str">
        <f t="shared" si="13"/>
        <v>&lt;TransferSpringPriorityDate Question="D9"&gt;-1&lt;/TransferSpringPriorityDate&gt;</v>
      </c>
    </row>
    <row r="418" spans="4:11" ht="12.75">
      <c r="D418" t="s">
        <v>197</v>
      </c>
      <c r="E418" s="278" t="str">
        <f>IF(TransferSpringClosingDate&gt;0,MONTH(TransferSpringClosingDate)&amp;"/"&amp;DAY(TransferSpringClosingDate),"-1")</f>
        <v>11/1</v>
      </c>
      <c r="F418"/>
      <c r="G418" s="314" t="s">
        <v>197</v>
      </c>
      <c r="H418" t="s">
        <v>859</v>
      </c>
      <c r="K418" t="str">
        <f t="shared" si="13"/>
        <v>&lt;TransferSpringClosingDate Question="D9"&gt;11/1&lt;/TransferSpringClosingDate&gt;</v>
      </c>
    </row>
    <row r="419" spans="4:11" ht="12.75">
      <c r="D419" t="s">
        <v>206</v>
      </c>
      <c r="E419" s="254" t="str">
        <f>IF(TransferSpringRollingAdmission&lt;&gt;"","True","False")</f>
        <v>False</v>
      </c>
      <c r="F419" t="str">
        <f>"=IF("&amp;D419&amp;"&lt;&gt;"""",""True"",""False"")"</f>
        <v>=IF(TransferSpringRollingAdmission&lt;&gt;"","True","False")</v>
      </c>
      <c r="G419" s="307" t="s">
        <v>206</v>
      </c>
      <c r="H419" t="s">
        <v>859</v>
      </c>
      <c r="K419" t="str">
        <f t="shared" si="13"/>
        <v>&lt;TransferSpringRollingAdmission Question="D9"&gt;False&lt;/TransferSpringRollingAdmission&gt;</v>
      </c>
    </row>
    <row r="420" spans="4:11" ht="12.75">
      <c r="D420" t="s">
        <v>198</v>
      </c>
      <c r="E420" s="278" t="str">
        <f>IF(TransferSpringNotificationDate&gt;0,MONTH(TransferSpringNotificationDate)&amp;"/"&amp;DAY(TransferSpringNotificationDate),"-1")</f>
        <v>12/5</v>
      </c>
      <c r="F420" t="str">
        <f>"=IF("&amp;D420&amp;"&gt;0,MONTH("&amp;D420&amp;")&amp;""/""&amp;DAY("&amp;D420&amp;"),""-1"")"</f>
        <v>=IF(TransferSpringNotificationDate&gt;0,MONTH(TransferSpringNotificationDate)&amp;"/"&amp;DAY(TransferSpringNotificationDate),"-1")</v>
      </c>
      <c r="G420" s="314" t="s">
        <v>198</v>
      </c>
      <c r="H420" t="s">
        <v>859</v>
      </c>
      <c r="K420" t="str">
        <f t="shared" si="13"/>
        <v>&lt;TransferSpringNotificationDate Question="D9"&gt;12/5&lt;/TransferSpringNotificationDate&gt;</v>
      </c>
    </row>
    <row r="421" spans="4:11" ht="12.75">
      <c r="D421" t="s">
        <v>199</v>
      </c>
      <c r="E421" s="278" t="str">
        <f>IF(TransferSpringReplyDate&gt;0,MONTH(TransferSpringReplyDate)&amp;"/"&amp;DAY(TransferSpringReplyDate),"-1")</f>
        <v>1/5</v>
      </c>
      <c r="F421"/>
      <c r="G421" s="314" t="s">
        <v>199</v>
      </c>
      <c r="H421" t="s">
        <v>859</v>
      </c>
      <c r="K421" t="str">
        <f t="shared" si="13"/>
        <v>&lt;TransferSpringReplyDate Question="D9"&gt;1/5&lt;/TransferSpringReplyDate&gt;</v>
      </c>
    </row>
    <row r="422" spans="4:11" ht="12.75">
      <c r="D422" t="s">
        <v>200</v>
      </c>
      <c r="E422" s="278" t="str">
        <f>IF(TransferSummerPriorityDate&gt;0,MONTH(TransferSummerPriorityDate)&amp;"/"&amp;DAY(TransferSummerPriorityDate),"-1")</f>
        <v>-1</v>
      </c>
      <c r="F422"/>
      <c r="G422" s="314" t="s">
        <v>200</v>
      </c>
      <c r="H422" t="s">
        <v>859</v>
      </c>
      <c r="K422" t="str">
        <f t="shared" si="13"/>
        <v>&lt;TransferSummerPriorityDate Question="D9"&gt;-1&lt;/TransferSummerPriorityDate&gt;</v>
      </c>
    </row>
    <row r="423" spans="4:11" ht="12.75">
      <c r="D423" t="s">
        <v>201</v>
      </c>
      <c r="E423" s="278" t="str">
        <f>IF(TransferSummerClosingDate&gt;0,MONTH(TransferSummerClosingDate)&amp;"/"&amp;DAY(TransferSummerClosingDate),"-1")</f>
        <v>-1</v>
      </c>
      <c r="F423"/>
      <c r="G423" s="314" t="s">
        <v>201</v>
      </c>
      <c r="H423" t="s">
        <v>859</v>
      </c>
      <c r="K423" t="str">
        <f t="shared" si="13"/>
        <v>&lt;TransferSummerClosingDate Question="D9"&gt;-1&lt;/TransferSummerClosingDate&gt;</v>
      </c>
    </row>
    <row r="424" spans="4:11" ht="12.75">
      <c r="D424" t="s">
        <v>207</v>
      </c>
      <c r="E424" s="254" t="str">
        <f>IF(TransferSummerRollingAdmission&lt;&gt;"","True","False")</f>
        <v>False</v>
      </c>
      <c r="F424" t="str">
        <f>"=IF("&amp;D424&amp;"&lt;&gt;"""",""True"",""False"")"</f>
        <v>=IF(TransferSummerRollingAdmission&lt;&gt;"","True","False")</v>
      </c>
      <c r="G424" s="307" t="s">
        <v>207</v>
      </c>
      <c r="H424" t="s">
        <v>859</v>
      </c>
      <c r="K424" t="str">
        <f t="shared" si="13"/>
        <v>&lt;TransferSummerRollingAdmission Question="D9"&gt;False&lt;/TransferSummerRollingAdmission&gt;</v>
      </c>
    </row>
    <row r="425" spans="4:11" ht="12.75">
      <c r="D425" t="s">
        <v>202</v>
      </c>
      <c r="E425" s="278" t="str">
        <f>IF(TransferSummerNotificationDate&gt;0,MONTH(TransferSummerNotificationDate)&amp;"/"&amp;DAY(TransferSummerNotificationDate),"-1")</f>
        <v>-1</v>
      </c>
      <c r="F425" t="str">
        <f>"=IF("&amp;D425&amp;"&gt;0,MONTH("&amp;D425&amp;")&amp;""/""&amp;DAY("&amp;D425&amp;"),""-1"")"</f>
        <v>=IF(TransferSummerNotificationDate&gt;0,MONTH(TransferSummerNotificationDate)&amp;"/"&amp;DAY(TransferSummerNotificationDate),"-1")</v>
      </c>
      <c r="G425" s="314" t="s">
        <v>202</v>
      </c>
      <c r="H425" t="s">
        <v>859</v>
      </c>
      <c r="K425" t="str">
        <f t="shared" si="13"/>
        <v>&lt;TransferSummerNotificationDate Question="D9"&gt;-1&lt;/TransferSummerNotificationDate&gt;</v>
      </c>
    </row>
    <row r="426" spans="4:11" ht="12.75">
      <c r="D426" t="s">
        <v>203</v>
      </c>
      <c r="E426" s="278" t="str">
        <f>IF(TransferSummerReplyDate&gt;0,MONTH(TransferSummerReplyDate)&amp;"/"&amp;DAY(TransferSummerReplyDate),"-1")</f>
        <v>-1</v>
      </c>
      <c r="F426"/>
      <c r="G426" s="314" t="s">
        <v>203</v>
      </c>
      <c r="H426" t="s">
        <v>859</v>
      </c>
      <c r="K426" t="str">
        <f t="shared" si="13"/>
        <v>&lt;TransferSummerReplyDate Question="D9"&gt;-1&lt;/TransferSummerReplyDate&gt;</v>
      </c>
    </row>
    <row r="427" spans="4:11" ht="12.75">
      <c r="D427" t="s">
        <v>209</v>
      </c>
      <c r="E427" s="254">
        <f>IF(TransferOpenAdmissions1&lt;&gt;"",1,IF(TransferOpenAdmissions2&lt;&gt;"",0,-1))</f>
        <v>-1</v>
      </c>
      <c r="F427" t="str">
        <f>"=IF("&amp;D427&amp;"1&lt;&gt;"""",1,IF("&amp;D427&amp;"2&lt;&gt;"""",0,-1))"</f>
        <v>=IF(TransferOpenAdmissions1&lt;&gt;"",1,IF(TransferOpenAdmissions2&lt;&gt;"",0,-1))</v>
      </c>
      <c r="G427" s="307" t="s">
        <v>209</v>
      </c>
      <c r="H427" t="s">
        <v>860</v>
      </c>
      <c r="K427" t="str">
        <f t="shared" si="13"/>
        <v>&lt;TransferOpenAdmissions Question="D10"&gt;-1&lt;/TransferOpenAdmissions&gt;</v>
      </c>
    </row>
    <row r="428" spans="4:11" ht="12.75">
      <c r="D428" t="s">
        <v>210</v>
      </c>
      <c r="E428" s="254">
        <f>IF(TransferAdmissionsRequirementsOther&lt;&gt;"",TransferAdmissionsRequirementsOther,"")</f>
      </c>
      <c r="F428"/>
      <c r="G428" s="307" t="s">
        <v>210</v>
      </c>
      <c r="H428" t="s">
        <v>861</v>
      </c>
      <c r="J428">
        <v>1</v>
      </c>
      <c r="K428" t="str">
        <f t="shared" si="13"/>
        <v>&lt;TransferAdmissionsRequirementsOther Question="D11"&gt;&lt;![CDATA[]]&gt;&lt;/TransferAdmissionsRequirementsOther&gt;</v>
      </c>
    </row>
    <row r="429" spans="4:11" ht="12.75">
      <c r="D429" t="s">
        <v>211</v>
      </c>
      <c r="E429" s="254" t="str">
        <f>IF(TransferLowestAcceptedGrade&lt;&gt;"",TransferLowestAcceptedGrade,"")</f>
        <v>C</v>
      </c>
      <c r="F429"/>
      <c r="G429" s="307" t="s">
        <v>211</v>
      </c>
      <c r="H429" t="s">
        <v>864</v>
      </c>
      <c r="J429">
        <v>1</v>
      </c>
      <c r="K429" t="str">
        <f t="shared" si="13"/>
        <v>&lt;TransferLowestAcceptedGrade Question="D12"&gt;&lt;![CDATA[C]]&gt;&lt;/TransferLowestAcceptedGrade&gt;</v>
      </c>
    </row>
    <row r="430" spans="4:11" ht="12.75">
      <c r="D430" t="s">
        <v>212</v>
      </c>
      <c r="E430" s="254">
        <f>IF(TransferCreditsMaxFrom2YearInstitution&lt;&gt;"",TransferCreditsMaxFrom2YearInstitution,-1)</f>
        <v>-1</v>
      </c>
      <c r="F430" t="str">
        <f>"=IF("&amp;D430&amp;"&lt;&gt;"""","&amp;D430&amp;",-1)"</f>
        <v>=IF(TransferCreditsMaxFrom2YearInstitution&lt;&gt;"",TransferCreditsMaxFrom2YearInstitution,-1)</v>
      </c>
      <c r="G430" s="307" t="s">
        <v>212</v>
      </c>
      <c r="H430" t="s">
        <v>974</v>
      </c>
      <c r="K430" t="str">
        <f t="shared" si="13"/>
        <v>&lt;TransferCreditsMaxFrom2YearInstitution Question="D13"&gt;-1&lt;/TransferCreditsMaxFrom2YearInstitution&gt;</v>
      </c>
    </row>
    <row r="431" spans="4:11" ht="12.75">
      <c r="D431" t="s">
        <v>213</v>
      </c>
      <c r="E431" s="254">
        <f>IF(TransferCreditsMaxFrom2YearInstitutionUnit&lt;&gt;"",TransferCreditsMaxFrom2YearInstitutionUnit,"")</f>
      </c>
      <c r="F431" t="str">
        <f>"=IF("&amp;D431&amp;"&lt;&gt;"""","&amp;D431&amp;","""")"</f>
        <v>=IF(TransferCreditsMaxFrom2YearInstitutionUnit&lt;&gt;"",TransferCreditsMaxFrom2YearInstitutionUnit,"")</v>
      </c>
      <c r="G431" s="307" t="s">
        <v>213</v>
      </c>
      <c r="H431" t="s">
        <v>974</v>
      </c>
      <c r="J431">
        <v>1</v>
      </c>
      <c r="K431" t="str">
        <f t="shared" si="13"/>
        <v>&lt;TransferCreditsMaxFrom2YearInstitutionUnit Question="D13"&gt;&lt;![CDATA[]]&gt;&lt;/TransferCreditsMaxFrom2YearInstitutionUnit&gt;</v>
      </c>
    </row>
    <row r="432" spans="4:11" ht="12.75">
      <c r="D432" t="s">
        <v>214</v>
      </c>
      <c r="E432" s="254">
        <f>IF(TransferCreditsMaxFrom4YearInstitution&lt;&gt;"",TransferCreditsMaxFrom4YearInstitution,-1)</f>
        <v>-1</v>
      </c>
      <c r="F432" t="str">
        <f>"=IF("&amp;D432&amp;"&lt;&gt;"""","&amp;D432&amp;",-1)"</f>
        <v>=IF(TransferCreditsMaxFrom4YearInstitution&lt;&gt;"",TransferCreditsMaxFrom4YearInstitution,-1)</v>
      </c>
      <c r="G432" s="307" t="s">
        <v>214</v>
      </c>
      <c r="H432" t="s">
        <v>976</v>
      </c>
      <c r="K432" t="str">
        <f t="shared" si="13"/>
        <v>&lt;TransferCreditsMaxFrom4YearInstitution Question="D14"&gt;-1&lt;/TransferCreditsMaxFrom4YearInstitution&gt;</v>
      </c>
    </row>
    <row r="433" spans="4:11" ht="12.75">
      <c r="D433" t="s">
        <v>215</v>
      </c>
      <c r="E433" s="254">
        <f>IF(TransferCreditsMaxFrom4YearInstitutionUnit&lt;&gt;"",TransferCreditsMaxFrom4YearInstitutionUnit,"")</f>
      </c>
      <c r="F433" t="str">
        <f>"=IF("&amp;D433&amp;"&lt;&gt;"""","&amp;D433&amp;","""")"</f>
        <v>=IF(TransferCreditsMaxFrom4YearInstitutionUnit&lt;&gt;"",TransferCreditsMaxFrom4YearInstitutionUnit,"")</v>
      </c>
      <c r="G433" s="307" t="s">
        <v>215</v>
      </c>
      <c r="H433" t="s">
        <v>976</v>
      </c>
      <c r="J433">
        <v>1</v>
      </c>
      <c r="K433" t="str">
        <f t="shared" si="13"/>
        <v>&lt;TransferCreditsMaxFrom4YearInstitutionUnit Question="D14"&gt;&lt;![CDATA[]]&gt;&lt;/TransferCreditsMaxFrom4YearInstitutionUnit&gt;</v>
      </c>
    </row>
    <row r="434" spans="4:11" ht="12.75">
      <c r="D434" t="s">
        <v>216</v>
      </c>
      <c r="E434" s="254">
        <f>IF(TransferMinimumCreditsAssociates&lt;&gt;"",TransferMinimumCreditsAssociates,-1)</f>
        <v>-1</v>
      </c>
      <c r="F434" t="str">
        <f>"=IF("&amp;D434&amp;"&lt;&gt;"""","&amp;D434&amp;",-1)"</f>
        <v>=IF(TransferMinimumCreditsAssociates&lt;&gt;"",TransferMinimumCreditsAssociates,-1)</v>
      </c>
      <c r="G434" s="307" t="s">
        <v>216</v>
      </c>
      <c r="H434" t="s">
        <v>977</v>
      </c>
      <c r="K434" t="str">
        <f t="shared" si="13"/>
        <v>&lt;TransferMinimumCreditsAssociates Question="D15"&gt;-1&lt;/TransferMinimumCreditsAssociates&gt;</v>
      </c>
    </row>
    <row r="435" spans="4:11" ht="12.75">
      <c r="D435" t="s">
        <v>217</v>
      </c>
      <c r="E435" s="254">
        <f>IF(TransferMinimumCreditsBachelors&lt;&gt;"",TransferMinimumCreditsBachelors,-1)</f>
        <v>60</v>
      </c>
      <c r="F435" t="str">
        <f>"=IF("&amp;D435&amp;"&lt;&gt;"""","&amp;D435&amp;",-1)"</f>
        <v>=IF(TransferMinimumCreditsBachelors&lt;&gt;"",TransferMinimumCreditsBachelors,-1)</v>
      </c>
      <c r="G435" s="307" t="s">
        <v>217</v>
      </c>
      <c r="H435" t="s">
        <v>978</v>
      </c>
      <c r="K435" t="str">
        <f t="shared" si="13"/>
        <v>&lt;TransferMinimumCreditsBachelors Question="D16"&gt;60&lt;/TransferMinimumCreditsBachelors&gt;</v>
      </c>
    </row>
    <row r="436" spans="4:11" ht="12.75">
      <c r="D436" t="s">
        <v>218</v>
      </c>
      <c r="E436" s="254">
        <f>IF(TransferCreditPoliciesOther&lt;&gt;"",TransferCreditPoliciesOther,"")</f>
      </c>
      <c r="F436" t="str">
        <f>"=IF("&amp;D436&amp;"&lt;&gt;"""","&amp;D436&amp;","""")"</f>
        <v>=IF(TransferCreditPoliciesOther&lt;&gt;"",TransferCreditPoliciesOther,"")</v>
      </c>
      <c r="G436" s="307" t="s">
        <v>218</v>
      </c>
      <c r="H436" t="s">
        <v>980</v>
      </c>
      <c r="J436">
        <v>1</v>
      </c>
      <c r="K436" t="str">
        <f t="shared" si="13"/>
        <v>&lt;TransferCreditPoliciesOther Question="D17"&gt;&lt;![CDATA[]]&gt;&lt;/TransferCreditPoliciesOther&gt;</v>
      </c>
    </row>
    <row r="437" spans="5:11" ht="12.75">
      <c r="E437" s="255"/>
      <c r="F437"/>
      <c r="G437" s="308"/>
      <c r="K437" t="s">
        <v>989</v>
      </c>
    </row>
    <row r="438" spans="2:11" ht="12.75">
      <c r="B438" t="s">
        <v>219</v>
      </c>
      <c r="F438"/>
      <c r="K438" t="s">
        <v>613</v>
      </c>
    </row>
    <row r="439" spans="4:11" ht="12.75">
      <c r="D439" t="s">
        <v>1042</v>
      </c>
      <c r="E439" s="254" t="str">
        <f>IF(SpecialStudyOptionsAcceleratedProgram&lt;&gt;"","True","False")</f>
        <v>True</v>
      </c>
      <c r="F439" t="str">
        <f>"=IF("&amp;D439&amp;"&lt;&gt;"""",""True"",""False"")"</f>
        <v>=IF(SpecialStudyOptionsAcceleratedProgram&lt;&gt;"","True","False")</v>
      </c>
      <c r="G439" s="307" t="s">
        <v>1042</v>
      </c>
      <c r="H439" t="s">
        <v>526</v>
      </c>
      <c r="K439" t="str">
        <f aca="true" t="shared" si="14" ref="K439:K467">"&lt;"&amp;G439&amp;" Question="""&amp;H439&amp;"""&gt;"&amp;IF(J439=1,"&lt;![CDATA[","")&amp;E439&amp;IF(J439=1,"]]&gt;","")&amp;"&lt;/"&amp;G439&amp;"&gt;"</f>
        <v>&lt;SpecialStudyOptionsAcceleratedProgram Question="E1"&gt;True&lt;/SpecialStudyOptionsAcceleratedProgram&gt;</v>
      </c>
    </row>
    <row r="440" spans="4:11" ht="12.75">
      <c r="D440" t="s">
        <v>1043</v>
      </c>
      <c r="E440" s="254" t="str">
        <f>IF(SpecialStudyOptionsWorkStudy&lt;&gt;"","True","False")</f>
        <v>False</v>
      </c>
      <c r="F440"/>
      <c r="G440" s="307" t="s">
        <v>1043</v>
      </c>
      <c r="H440" t="s">
        <v>526</v>
      </c>
      <c r="K440" t="str">
        <f t="shared" si="14"/>
        <v>&lt;SpecialStudyOptionsWorkStudy Question="E1"&gt;False&lt;/SpecialStudyOptionsWorkStudy&gt;</v>
      </c>
    </row>
    <row r="441" spans="4:11" ht="12.75">
      <c r="D441" t="s">
        <v>1044</v>
      </c>
      <c r="E441" s="254" t="str">
        <f>IF(SpecialStudyOptionsCrossRegistration&lt;&gt;"","True","False")</f>
        <v>False</v>
      </c>
      <c r="F441"/>
      <c r="G441" s="307" t="s">
        <v>1044</v>
      </c>
      <c r="H441" t="s">
        <v>526</v>
      </c>
      <c r="K441" t="str">
        <f t="shared" si="14"/>
        <v>&lt;SpecialStudyOptionsCrossRegistration Question="E1"&gt;False&lt;/SpecialStudyOptionsCrossRegistration&gt;</v>
      </c>
    </row>
    <row r="442" spans="4:11" ht="12.75">
      <c r="D442" t="s">
        <v>1045</v>
      </c>
      <c r="E442" s="254" t="str">
        <f>IF(SpecialStudyOptionsDistanceLearning&lt;&gt;"","True","False")</f>
        <v>False</v>
      </c>
      <c r="F442"/>
      <c r="G442" s="307" t="s">
        <v>1045</v>
      </c>
      <c r="H442" t="s">
        <v>526</v>
      </c>
      <c r="K442" t="str">
        <f t="shared" si="14"/>
        <v>&lt;SpecialStudyOptionsDistanceLearning Question="E1"&gt;False&lt;/SpecialStudyOptionsDistanceLearning&gt;</v>
      </c>
    </row>
    <row r="443" spans="4:11" ht="12.75">
      <c r="D443" t="s">
        <v>1046</v>
      </c>
      <c r="E443" s="254" t="str">
        <f>IF(SpecialStudyOptionsDoubleMajor&lt;&gt;"","True","False")</f>
        <v>True</v>
      </c>
      <c r="F443"/>
      <c r="G443" s="307" t="s">
        <v>1046</v>
      </c>
      <c r="H443" t="s">
        <v>526</v>
      </c>
      <c r="K443" t="str">
        <f t="shared" si="14"/>
        <v>&lt;SpecialStudyOptionsDoubleMajor Question="E1"&gt;True&lt;/SpecialStudyOptionsDoubleMajor&gt;</v>
      </c>
    </row>
    <row r="444" spans="4:11" ht="12.75">
      <c r="D444" t="s">
        <v>1047</v>
      </c>
      <c r="E444" s="254" t="str">
        <f>IF(SpecialStudyOptionsDualEnrollment&lt;&gt;"","True","False")</f>
        <v>True</v>
      </c>
      <c r="F444"/>
      <c r="G444" s="307" t="s">
        <v>1047</v>
      </c>
      <c r="H444" t="s">
        <v>526</v>
      </c>
      <c r="K444" t="str">
        <f t="shared" si="14"/>
        <v>&lt;SpecialStudyOptionsDualEnrollment Question="E1"&gt;True&lt;/SpecialStudyOptionsDualEnrollment&gt;</v>
      </c>
    </row>
    <row r="445" spans="4:11" ht="12.75">
      <c r="D445" t="s">
        <v>1048</v>
      </c>
      <c r="E445" s="254" t="str">
        <f>IF(SpecialStudyOptionsESL&lt;&gt;"","True","False")</f>
        <v>False</v>
      </c>
      <c r="F445"/>
      <c r="G445" s="307" t="s">
        <v>1048</v>
      </c>
      <c r="H445" t="s">
        <v>526</v>
      </c>
      <c r="K445" t="str">
        <f t="shared" si="14"/>
        <v>&lt;SpecialStudyOptionsESL Question="E1"&gt;False&lt;/SpecialStudyOptionsESL&gt;</v>
      </c>
    </row>
    <row r="446" spans="4:11" ht="12.75">
      <c r="D446" t="s">
        <v>1049</v>
      </c>
      <c r="E446" s="254" t="str">
        <f>IF(SpecialStudyOptionsDomesticExchange&lt;&gt;"","True","False")</f>
        <v>True</v>
      </c>
      <c r="F446"/>
      <c r="G446" s="307" t="s">
        <v>1049</v>
      </c>
      <c r="H446" t="s">
        <v>526</v>
      </c>
      <c r="K446" t="str">
        <f t="shared" si="14"/>
        <v>&lt;SpecialStudyOptionsDomesticExchange Question="E1"&gt;True&lt;/SpecialStudyOptionsDomesticExchange&gt;</v>
      </c>
    </row>
    <row r="447" spans="4:11" ht="12.75">
      <c r="D447" t="s">
        <v>1050</v>
      </c>
      <c r="E447" s="254" t="str">
        <f>IF(SpecialStudyOptionsExternalDegree&lt;&gt;"","True","False")</f>
        <v>False</v>
      </c>
      <c r="F447"/>
      <c r="G447" s="307" t="s">
        <v>1050</v>
      </c>
      <c r="H447" t="s">
        <v>526</v>
      </c>
      <c r="K447" t="str">
        <f t="shared" si="14"/>
        <v>&lt;SpecialStudyOptionsExternalDegree Question="E1"&gt;False&lt;/SpecialStudyOptionsExternalDegree&gt;</v>
      </c>
    </row>
    <row r="448" spans="4:11" ht="12.75">
      <c r="D448" t="s">
        <v>1051</v>
      </c>
      <c r="E448" s="254" t="str">
        <f>IF(SpecialStudyOptionsHonors&lt;&gt;"","True","False")</f>
        <v>True</v>
      </c>
      <c r="F448"/>
      <c r="G448" s="307" t="s">
        <v>1051</v>
      </c>
      <c r="H448" t="s">
        <v>526</v>
      </c>
      <c r="K448" t="str">
        <f t="shared" si="14"/>
        <v>&lt;SpecialStudyOptionsHonors Question="E1"&gt;True&lt;/SpecialStudyOptionsHonors&gt;</v>
      </c>
    </row>
    <row r="449" spans="4:11" ht="12.75">
      <c r="D449" t="s">
        <v>1052</v>
      </c>
      <c r="E449" s="254" t="str">
        <f>IF(SpecialStudyOptionsIndependent&lt;&gt;"","True","False")</f>
        <v>True</v>
      </c>
      <c r="F449"/>
      <c r="G449" s="307" t="s">
        <v>1052</v>
      </c>
      <c r="H449" t="s">
        <v>526</v>
      </c>
      <c r="K449" t="str">
        <f t="shared" si="14"/>
        <v>&lt;SpecialStudyOptionsIndependent Question="E1"&gt;True&lt;/SpecialStudyOptionsIndependent&gt;</v>
      </c>
    </row>
    <row r="450" spans="4:11" ht="12.75">
      <c r="D450" t="s">
        <v>1053</v>
      </c>
      <c r="E450" s="254" t="str">
        <f>IF(SpecialStudyOptionsInternships&lt;&gt;"","True","False")</f>
        <v>True</v>
      </c>
      <c r="F450"/>
      <c r="G450" s="307" t="s">
        <v>1053</v>
      </c>
      <c r="H450" t="s">
        <v>526</v>
      </c>
      <c r="K450" t="str">
        <f t="shared" si="14"/>
        <v>&lt;SpecialStudyOptionsInternships Question="E1"&gt;True&lt;/SpecialStudyOptionsInternships&gt;</v>
      </c>
    </row>
    <row r="451" spans="4:11" ht="12.75">
      <c r="D451" t="s">
        <v>1054</v>
      </c>
      <c r="E451" s="254" t="str">
        <f>IF(SpecialStudyOptionsLiberalArts&lt;&gt;"","True","False")</f>
        <v>False</v>
      </c>
      <c r="F451"/>
      <c r="G451" s="307" t="s">
        <v>1054</v>
      </c>
      <c r="H451" t="s">
        <v>526</v>
      </c>
      <c r="K451" t="str">
        <f t="shared" si="14"/>
        <v>&lt;SpecialStudyOptionsLiberalArts Question="E1"&gt;False&lt;/SpecialStudyOptionsLiberalArts&gt;</v>
      </c>
    </row>
    <row r="452" spans="4:11" ht="12.75">
      <c r="D452" t="s">
        <v>1055</v>
      </c>
      <c r="E452" s="254" t="str">
        <f>IF(SpecialStudyOptionsStudentDesignedMajors&lt;&gt;"","True","False")</f>
        <v>True</v>
      </c>
      <c r="F452"/>
      <c r="G452" s="307" t="s">
        <v>1055</v>
      </c>
      <c r="H452" t="s">
        <v>526</v>
      </c>
      <c r="K452" t="str">
        <f t="shared" si="14"/>
        <v>&lt;SpecialStudyOptionsStudentDesignedMajors Question="E1"&gt;True&lt;/SpecialStudyOptionsStudentDesignedMajors&gt;</v>
      </c>
    </row>
    <row r="453" spans="4:11" ht="12.75">
      <c r="D453" t="s">
        <v>1056</v>
      </c>
      <c r="E453" s="254" t="str">
        <f>IF(SpecialStudyOptionsStudyAbroad&lt;&gt;"","True","False")</f>
        <v>True</v>
      </c>
      <c r="F453"/>
      <c r="G453" s="307" t="s">
        <v>1056</v>
      </c>
      <c r="H453" t="s">
        <v>526</v>
      </c>
      <c r="K453" t="str">
        <f t="shared" si="14"/>
        <v>&lt;SpecialStudyOptionsStudyAbroad Question="E1"&gt;True&lt;/SpecialStudyOptionsStudyAbroad&gt;</v>
      </c>
    </row>
    <row r="454" spans="4:11" ht="12.75">
      <c r="D454" t="s">
        <v>1057</v>
      </c>
      <c r="E454" s="254" t="str">
        <f>IF(SpecialStudyOptionsTeacherCertification&lt;&gt;"","True","False")</f>
        <v>True</v>
      </c>
      <c r="F454"/>
      <c r="G454" s="307" t="s">
        <v>1057</v>
      </c>
      <c r="H454" t="s">
        <v>526</v>
      </c>
      <c r="K454" t="str">
        <f t="shared" si="14"/>
        <v>&lt;SpecialStudyOptionsTeacherCertification Question="E1"&gt;True&lt;/SpecialStudyOptionsTeacherCertification&gt;</v>
      </c>
    </row>
    <row r="455" spans="4:11" ht="12.75">
      <c r="D455" t="s">
        <v>1058</v>
      </c>
      <c r="E455" s="254" t="str">
        <f>IF(SpecialStudyOptionsWeekendCollege&lt;&gt;"","True","False")</f>
        <v>False</v>
      </c>
      <c r="F455"/>
      <c r="G455" s="307" t="s">
        <v>1058</v>
      </c>
      <c r="H455" t="s">
        <v>526</v>
      </c>
      <c r="K455" t="str">
        <f t="shared" si="14"/>
        <v>&lt;SpecialStudyOptionsWeekendCollege Question="E1"&gt;False&lt;/SpecialStudyOptionsWeekendCollege&gt;</v>
      </c>
    </row>
    <row r="456" spans="4:11" ht="12.75">
      <c r="D456" t="s">
        <v>1059</v>
      </c>
      <c r="E456" s="254">
        <f>IF(SpecialStudyOptionsOther&lt;&gt;"",SpecialStudyOptionsOther,"")</f>
      </c>
      <c r="F456" t="str">
        <f>"=IF("&amp;D456&amp;"&lt;&gt;"""","&amp;D456&amp;","""")"</f>
        <v>=IF(SpecialStudyOptionsOther&lt;&gt;"",SpecialStudyOptionsOther,"")</v>
      </c>
      <c r="G456" s="307" t="s">
        <v>1059</v>
      </c>
      <c r="H456" t="s">
        <v>526</v>
      </c>
      <c r="J456">
        <v>1</v>
      </c>
      <c r="K456" t="str">
        <f t="shared" si="14"/>
        <v>&lt;SpecialStudyOptionsOther Question="E1"&gt;&lt;![CDATA[]]&gt;&lt;/SpecialStudyOptionsOther&gt;</v>
      </c>
    </row>
    <row r="457" spans="4:11" ht="12.75">
      <c r="D457" t="s">
        <v>1060</v>
      </c>
      <c r="E457" s="254" t="str">
        <f>IF(RequiredCoursesArt&lt;&gt;"","True","False")</f>
        <v>True</v>
      </c>
      <c r="F457"/>
      <c r="G457" s="307" t="s">
        <v>1060</v>
      </c>
      <c r="H457" t="s">
        <v>528</v>
      </c>
      <c r="K457" t="str">
        <f t="shared" si="14"/>
        <v>&lt;RequiredCoursesArt Question="E3"&gt;True&lt;/RequiredCoursesArt&gt;</v>
      </c>
    </row>
    <row r="458" spans="4:11" ht="12.75">
      <c r="D458" t="s">
        <v>58</v>
      </c>
      <c r="E458" s="254" t="str">
        <f>IF(RequiredCoursesComputer&lt;&gt;"","True","False")</f>
        <v>True</v>
      </c>
      <c r="F458"/>
      <c r="G458" s="307" t="s">
        <v>58</v>
      </c>
      <c r="H458" t="s">
        <v>528</v>
      </c>
      <c r="K458" t="str">
        <f t="shared" si="14"/>
        <v>&lt;RequiredCoursesComputer Question="E3"&gt;True&lt;/RequiredCoursesComputer&gt;</v>
      </c>
    </row>
    <row r="459" spans="4:11" ht="12.75">
      <c r="D459" t="s">
        <v>59</v>
      </c>
      <c r="E459" s="254" t="str">
        <f>IF(RequiredCoursesEnglish&lt;&gt;"","True","False")</f>
        <v>True</v>
      </c>
      <c r="F459"/>
      <c r="G459" s="307" t="s">
        <v>59</v>
      </c>
      <c r="H459" t="s">
        <v>528</v>
      </c>
      <c r="K459" t="str">
        <f t="shared" si="14"/>
        <v>&lt;RequiredCoursesEnglish Question="E3"&gt;True&lt;/RequiredCoursesEnglish&gt;</v>
      </c>
    </row>
    <row r="460" spans="4:11" ht="12.75">
      <c r="D460" t="s">
        <v>60</v>
      </c>
      <c r="E460" s="254" t="str">
        <f>IF(RequiredCoursesForeign&lt;&gt;"","True","False")</f>
        <v>True</v>
      </c>
      <c r="F460"/>
      <c r="G460" s="307" t="s">
        <v>60</v>
      </c>
      <c r="H460" t="s">
        <v>528</v>
      </c>
      <c r="K460" t="str">
        <f t="shared" si="14"/>
        <v>&lt;RequiredCoursesForeign Question="E3"&gt;True&lt;/RequiredCoursesForeign&gt;</v>
      </c>
    </row>
    <row r="461" spans="4:11" ht="12.75">
      <c r="D461" t="s">
        <v>61</v>
      </c>
      <c r="E461" s="254" t="str">
        <f>IF(RequiredCoursesHistory&lt;&gt;"","True","False")</f>
        <v>True</v>
      </c>
      <c r="F461"/>
      <c r="G461" s="307" t="s">
        <v>61</v>
      </c>
      <c r="H461" t="s">
        <v>528</v>
      </c>
      <c r="K461" t="str">
        <f t="shared" si="14"/>
        <v>&lt;RequiredCoursesHistory Question="E3"&gt;True&lt;/RequiredCoursesHistory&gt;</v>
      </c>
    </row>
    <row r="462" spans="4:11" ht="12.75">
      <c r="D462" t="s">
        <v>62</v>
      </c>
      <c r="E462" s="254" t="str">
        <f>IF(RequiredCoursesHumanities&lt;&gt;"","True","False")</f>
        <v>True</v>
      </c>
      <c r="F462"/>
      <c r="G462" s="307" t="s">
        <v>62</v>
      </c>
      <c r="H462" t="s">
        <v>528</v>
      </c>
      <c r="K462" t="str">
        <f t="shared" si="14"/>
        <v>&lt;RequiredCoursesHumanities Question="E3"&gt;True&lt;/RequiredCoursesHumanities&gt;</v>
      </c>
    </row>
    <row r="463" spans="4:11" ht="12.75">
      <c r="D463" t="s">
        <v>63</v>
      </c>
      <c r="E463" s="254" t="str">
        <f>IF(RequiredCoursesMathematics&lt;&gt;"","True","False")</f>
        <v>True</v>
      </c>
      <c r="F463"/>
      <c r="G463" s="307" t="s">
        <v>63</v>
      </c>
      <c r="H463" t="s">
        <v>528</v>
      </c>
      <c r="K463" t="str">
        <f t="shared" si="14"/>
        <v>&lt;RequiredCoursesMathematics Question="E3"&gt;True&lt;/RequiredCoursesMathematics&gt;</v>
      </c>
    </row>
    <row r="464" spans="4:11" ht="12.75">
      <c r="D464" t="s">
        <v>64</v>
      </c>
      <c r="E464" s="254" t="str">
        <f>IF(RequiredCoursesPhilosophy&lt;&gt;"","True","False")</f>
        <v>True</v>
      </c>
      <c r="F464"/>
      <c r="G464" s="307" t="s">
        <v>64</v>
      </c>
      <c r="H464" t="s">
        <v>528</v>
      </c>
      <c r="K464" t="str">
        <f t="shared" si="14"/>
        <v>&lt;RequiredCoursesPhilosophy Question="E3"&gt;True&lt;/RequiredCoursesPhilosophy&gt;</v>
      </c>
    </row>
    <row r="465" spans="4:11" ht="12.75">
      <c r="D465" t="s">
        <v>65</v>
      </c>
      <c r="E465" s="254" t="str">
        <f>IF(RequiredCoursesPhysicalScience&lt;&gt;"","True","False")</f>
        <v>True</v>
      </c>
      <c r="F465"/>
      <c r="G465" s="307" t="s">
        <v>65</v>
      </c>
      <c r="H465" t="s">
        <v>528</v>
      </c>
      <c r="K465" t="str">
        <f t="shared" si="14"/>
        <v>&lt;RequiredCoursesPhysicalScience Question="E3"&gt;True&lt;/RequiredCoursesPhysicalScience&gt;</v>
      </c>
    </row>
    <row r="466" spans="4:11" ht="12.75">
      <c r="D466" t="s">
        <v>66</v>
      </c>
      <c r="E466" s="254" t="str">
        <f>IF(RequiredCoursesSocialScience&lt;&gt;"","True","False")</f>
        <v>True</v>
      </c>
      <c r="F466"/>
      <c r="G466" s="307" t="s">
        <v>66</v>
      </c>
      <c r="H466" t="s">
        <v>528</v>
      </c>
      <c r="K466" t="str">
        <f t="shared" si="14"/>
        <v>&lt;RequiredCoursesSocialScience Question="E3"&gt;True&lt;/RequiredCoursesSocialScience&gt;</v>
      </c>
    </row>
    <row r="467" spans="4:11" ht="12.75">
      <c r="D467" t="s">
        <v>67</v>
      </c>
      <c r="E467" s="254">
        <f>IF(RequiredCoursesOther&lt;&gt;"",RequiredCoursesOther,"")</f>
      </c>
      <c r="F467" t="str">
        <f>"=IF("&amp;D467&amp;"&lt;&gt;"""","&amp;D467&amp;","""")"</f>
        <v>=IF(RequiredCoursesOther&lt;&gt;"",RequiredCoursesOther,"")</v>
      </c>
      <c r="G467" s="307" t="s">
        <v>67</v>
      </c>
      <c r="H467" t="s">
        <v>528</v>
      </c>
      <c r="J467">
        <v>1</v>
      </c>
      <c r="K467" t="str">
        <f t="shared" si="14"/>
        <v>&lt;RequiredCoursesOther Question="E3"&gt;&lt;![CDATA[]]&gt;&lt;/RequiredCoursesOther&gt;</v>
      </c>
    </row>
    <row r="468" spans="5:11" ht="12.75">
      <c r="E468" s="255"/>
      <c r="F468"/>
      <c r="G468" s="308"/>
      <c r="K468" t="s">
        <v>614</v>
      </c>
    </row>
    <row r="469" spans="2:11" ht="12.75">
      <c r="B469" t="s">
        <v>68</v>
      </c>
      <c r="F469"/>
      <c r="K469" t="s">
        <v>615</v>
      </c>
    </row>
    <row r="470" spans="4:11" ht="12.75">
      <c r="D470" t="s">
        <v>69</v>
      </c>
      <c r="E470" s="268">
        <f>IF(PercentOfFreshmenOutOfState&gt;0,PercentOfFreshmenOutOfState*100,"-1")</f>
        <v>33</v>
      </c>
      <c r="F470" t="str">
        <f>"=IF("&amp;D470&amp;"&gt;0,"&amp;D470&amp;"*100,""-1"")"</f>
        <v>=IF(PercentOfFreshmenOutOfState&gt;0,PercentOfFreshmenOutOfState*100,"-1")</v>
      </c>
      <c r="G470" s="308" t="s">
        <v>69</v>
      </c>
      <c r="H470" t="s">
        <v>1556</v>
      </c>
      <c r="K470" t="str">
        <f aca="true" t="shared" si="15" ref="K470:K504">"&lt;"&amp;G470&amp;" Question="""&amp;H470&amp;"""&gt;"&amp;IF(J470=1,"&lt;![CDATA[","")&amp;E470&amp;IF(J470=1,"]]&gt;","")&amp;"&lt;/"&amp;G470&amp;"&gt;"</f>
        <v>&lt;PercentOfFreshmenOutOfState Question="F1"&gt;33&lt;/PercentOfFreshmenOutOfState&gt;</v>
      </c>
    </row>
    <row r="471" spans="4:11" ht="12.75">
      <c r="D471" t="s">
        <v>70</v>
      </c>
      <c r="E471" s="268">
        <f>IF(PercentOfStudentsOutOfState&gt;0,PercentOfStudentsOutOfState*100,"-1")</f>
        <v>31</v>
      </c>
      <c r="F471"/>
      <c r="G471" s="308" t="s">
        <v>70</v>
      </c>
      <c r="H471" t="s">
        <v>1556</v>
      </c>
      <c r="K471" t="str">
        <f t="shared" si="15"/>
        <v>&lt;PercentOfStudentsOutOfState Question="F1"&gt;31&lt;/PercentOfStudentsOutOfState&gt;</v>
      </c>
    </row>
    <row r="472" spans="4:11" ht="12.75">
      <c r="D472" t="s">
        <v>71</v>
      </c>
      <c r="E472" s="268">
        <f>IF(PercentOfFreshmenJoinFraternities&gt;0,PercentOfFreshmenJoinFraternities*100,"-1")</f>
        <v>13.915857605177994</v>
      </c>
      <c r="F472"/>
      <c r="G472" s="308" t="s">
        <v>71</v>
      </c>
      <c r="H472" t="s">
        <v>1556</v>
      </c>
      <c r="K472" t="str">
        <f t="shared" si="15"/>
        <v>&lt;PercentOfFreshmenJoinFraternities Question="F1"&gt;13.915857605178&lt;/PercentOfFreshmenJoinFraternities&gt;</v>
      </c>
    </row>
    <row r="473" spans="4:11" ht="12.75">
      <c r="D473" t="s">
        <v>72</v>
      </c>
      <c r="E473" s="268">
        <f>IF(PercentOfStudentsJoinFraternities&gt;0,PercentOfStudentsJoinFraternities*100,"-1")</f>
        <v>22.3</v>
      </c>
      <c r="F473"/>
      <c r="G473" s="308" t="s">
        <v>72</v>
      </c>
      <c r="H473" t="s">
        <v>1556</v>
      </c>
      <c r="K473" t="str">
        <f t="shared" si="15"/>
        <v>&lt;PercentOfStudentsJoinFraternities Question="F1"&gt;22.3&lt;/PercentOfStudentsJoinFraternities&gt;</v>
      </c>
    </row>
    <row r="474" spans="4:11" ht="12.75">
      <c r="D474" t="s">
        <v>73</v>
      </c>
      <c r="E474" s="268">
        <f>IF(PercentOfFreshmenJoinSororities&gt;0,PercentOfFreshmenJoinSororities*100,"-1")</f>
        <v>20.59800664451827</v>
      </c>
      <c r="F474"/>
      <c r="G474" s="308" t="s">
        <v>73</v>
      </c>
      <c r="H474" t="s">
        <v>1556</v>
      </c>
      <c r="K474" t="str">
        <f t="shared" si="15"/>
        <v>&lt;PercentOfFreshmenJoinSororities Question="F1"&gt;20.5980066445183&lt;/PercentOfFreshmenJoinSororities&gt;</v>
      </c>
    </row>
    <row r="475" spans="4:11" ht="12.75">
      <c r="D475" t="s">
        <v>74</v>
      </c>
      <c r="E475" s="268">
        <f>IF(PercentOfStudentsJoinSororities&gt;0,PercentOfStudentsJoinSororities*100,"-1")</f>
        <v>27.450000000000003</v>
      </c>
      <c r="F475"/>
      <c r="G475" s="308" t="s">
        <v>74</v>
      </c>
      <c r="H475" t="s">
        <v>1556</v>
      </c>
      <c r="K475" t="str">
        <f t="shared" si="15"/>
        <v>&lt;PercentOfStudentsJoinSororities Question="F1"&gt;27.45&lt;/PercentOfStudentsJoinSororities&gt;</v>
      </c>
    </row>
    <row r="476" spans="4:11" ht="12.75">
      <c r="D476" t="s">
        <v>75</v>
      </c>
      <c r="E476" s="268">
        <f>IF(PercentOfFreshmenInCollegeHousing&gt;0,PercentOfFreshmenInCollegeHousing*100,"-1")</f>
        <v>100</v>
      </c>
      <c r="F476"/>
      <c r="G476" s="308" t="s">
        <v>75</v>
      </c>
      <c r="H476" t="s">
        <v>1556</v>
      </c>
      <c r="K476" t="str">
        <f t="shared" si="15"/>
        <v>&lt;PercentOfFreshmenInCollegeHousing Question="F1"&gt;100&lt;/PercentOfFreshmenInCollegeHousing&gt;</v>
      </c>
    </row>
    <row r="477" spans="4:11" ht="12.75">
      <c r="D477" t="s">
        <v>76</v>
      </c>
      <c r="E477" s="268">
        <f>IF(PercentOfStudentsInCollegeHousing&gt;0,PercentOfStudentsInCollegeHousing*100,"-1")</f>
        <v>75</v>
      </c>
      <c r="F477"/>
      <c r="G477" s="308" t="s">
        <v>76</v>
      </c>
      <c r="H477" t="s">
        <v>1556</v>
      </c>
      <c r="K477" t="str">
        <f t="shared" si="15"/>
        <v>&lt;PercentOfStudentsInCollegeHousing Question="F1"&gt;75&lt;/PercentOfStudentsInCollegeHousing&gt;</v>
      </c>
    </row>
    <row r="478" spans="4:11" ht="12.75">
      <c r="D478" t="s">
        <v>77</v>
      </c>
      <c r="E478" s="268" t="str">
        <f>IF(PercentOfFreshmenOffCampus&gt;0,PercentOfFreshmenOffCampus*100,"-1")</f>
        <v>-1</v>
      </c>
      <c r="F478"/>
      <c r="G478" s="308" t="s">
        <v>77</v>
      </c>
      <c r="H478" t="s">
        <v>1556</v>
      </c>
      <c r="K478" t="str">
        <f t="shared" si="15"/>
        <v>&lt;PercentOfFreshmenOffCampus Question="F1"&gt;-1&lt;/PercentOfFreshmenOffCampus&gt;</v>
      </c>
    </row>
    <row r="479" spans="4:11" ht="12.75">
      <c r="D479" t="s">
        <v>78</v>
      </c>
      <c r="E479" s="268">
        <f>IF(PercentOfStudentsOffCampus&gt;0,PercentOfStudentsOffCampus*100,"-1")</f>
        <v>25</v>
      </c>
      <c r="F479"/>
      <c r="G479" s="308" t="s">
        <v>78</v>
      </c>
      <c r="H479" t="s">
        <v>1556</v>
      </c>
      <c r="K479" t="str">
        <f t="shared" si="15"/>
        <v>&lt;PercentOfStudentsOffCampus Question="F1"&gt;25&lt;/PercentOfStudentsOffCampus&gt;</v>
      </c>
    </row>
    <row r="480" spans="4:11" ht="12.75">
      <c r="D480" t="s">
        <v>79</v>
      </c>
      <c r="E480" s="268">
        <f>IF(PercentOfFreshmen25OrOlder&gt;0,PercentOfFreshmen25OrOlder*100,"-1")</f>
        <v>0.017265193370165743</v>
      </c>
      <c r="F480"/>
      <c r="G480" s="308" t="s">
        <v>79</v>
      </c>
      <c r="H480" t="s">
        <v>1556</v>
      </c>
      <c r="K480" t="str">
        <f t="shared" si="15"/>
        <v>&lt;PercentOfFreshmen25OrOlder Question="F1"&gt;0.0172651933701657&lt;/PercentOfFreshmen25OrOlder&gt;</v>
      </c>
    </row>
    <row r="481" spans="4:11" ht="12.75">
      <c r="D481" t="s">
        <v>80</v>
      </c>
      <c r="E481" s="268">
        <f>IF(PercentOfStudents25OrOlder&gt;0,PercentOfStudents25OrOlder*100,"-1")</f>
        <v>1.6999649491763056</v>
      </c>
      <c r="F481"/>
      <c r="G481" s="308" t="s">
        <v>80</v>
      </c>
      <c r="H481" t="s">
        <v>1556</v>
      </c>
      <c r="K481" t="str">
        <f t="shared" si="15"/>
        <v>&lt;PercentOfStudents25OrOlder Question="F1"&gt;1.69996494917631&lt;/PercentOfStudents25OrOlder&gt;</v>
      </c>
    </row>
    <row r="482" spans="4:11" ht="12.75">
      <c r="D482" t="s">
        <v>81</v>
      </c>
      <c r="E482" s="268">
        <f>IF(AverageAgeFullTimeFreshmen&gt;0,AverageAgeFullTimeFreshmen,"-1")</f>
        <v>18</v>
      </c>
      <c r="F482" t="str">
        <f>"=IF("&amp;D482&amp;"&gt;0,"&amp;D482&amp;",""-1"")"</f>
        <v>=IF(AverageAgeFullTimeFreshmen&gt;0,AverageAgeFullTimeFreshmen,"-1")</v>
      </c>
      <c r="G482" s="316" t="s">
        <v>81</v>
      </c>
      <c r="H482" t="s">
        <v>1556</v>
      </c>
      <c r="K482" t="str">
        <f t="shared" si="15"/>
        <v>&lt;AverageAgeFullTimeFreshmen Question="F1"&gt;18&lt;/AverageAgeFullTimeFreshmen&gt;</v>
      </c>
    </row>
    <row r="483" spans="4:11" ht="12.75">
      <c r="D483" t="s">
        <v>82</v>
      </c>
      <c r="E483" s="268">
        <f>IF(AverageAgeFullTimeStudents&gt;0,AverageAgeFullTimeStudents,"-1")</f>
        <v>20</v>
      </c>
      <c r="F483"/>
      <c r="G483" s="316" t="s">
        <v>82</v>
      </c>
      <c r="H483" t="s">
        <v>1556</v>
      </c>
      <c r="K483" t="str">
        <f t="shared" si="15"/>
        <v>&lt;AverageAgeFullTimeStudents Question="F1"&gt;20&lt;/AverageAgeFullTimeStudents&gt;</v>
      </c>
    </row>
    <row r="484" spans="4:11" ht="12.75">
      <c r="D484" t="s">
        <v>83</v>
      </c>
      <c r="E484" s="268">
        <f>IF(AverageAgeAllFreshmen&gt;0,AverageAgeAllFreshmen,"-1")</f>
        <v>18</v>
      </c>
      <c r="F484"/>
      <c r="G484" s="316" t="s">
        <v>83</v>
      </c>
      <c r="H484" t="s">
        <v>1556</v>
      </c>
      <c r="K484" t="str">
        <f t="shared" si="15"/>
        <v>&lt;AverageAgeAllFreshmen Question="F1"&gt;18&lt;/AverageAgeAllFreshmen&gt;</v>
      </c>
    </row>
    <row r="485" spans="4:11" ht="12.75">
      <c r="D485" t="s">
        <v>84</v>
      </c>
      <c r="E485" s="268">
        <f>IF(AverageAgeAllStudents&gt;0,AverageAgeAllStudents,"-1")</f>
        <v>20</v>
      </c>
      <c r="F485"/>
      <c r="G485" s="316" t="s">
        <v>84</v>
      </c>
      <c r="H485" t="s">
        <v>1556</v>
      </c>
      <c r="K485" t="str">
        <f t="shared" si="15"/>
        <v>&lt;AverageAgeAllStudents Question="F1"&gt;20&lt;/AverageAgeAllStudents&gt;</v>
      </c>
    </row>
    <row r="486" spans="4:11" ht="12.75">
      <c r="D486" t="s">
        <v>1881</v>
      </c>
      <c r="E486" s="255" t="str">
        <f>IF(ActivitiesOfferedCampusMinistries&lt;&gt;"","True","False")</f>
        <v>True</v>
      </c>
      <c r="F486" t="str">
        <f>"=IF("&amp;D486&amp;"&lt;&gt;"""",""True"",""False"")"</f>
        <v>=IF(ActivitiesOfferedCampusMinistries&lt;&gt;"","True","False")</v>
      </c>
      <c r="G486" s="308" t="str">
        <f>D486</f>
        <v>ActivitiesOfferedCampusMinistries</v>
      </c>
      <c r="H486" t="s">
        <v>1555</v>
      </c>
      <c r="K486" t="str">
        <f>"&lt;"&amp;G486&amp;" Question="""&amp;H486&amp;"""&gt;"&amp;IF(J486=1,"&lt;![CDATA[","")&amp;E486&amp;IF(J486=1,"]]&gt;","")&amp;"&lt;/"&amp;G486&amp;"&gt;"</f>
        <v>&lt;ActivitiesOfferedCampusMinistries Question="F2"&gt;True&lt;/ActivitiesOfferedCampusMinistries&gt;</v>
      </c>
    </row>
    <row r="487" spans="4:11" ht="12.75">
      <c r="D487" t="s">
        <v>85</v>
      </c>
      <c r="E487" s="255" t="str">
        <f>IF(ActivitiesOfferedChoir&lt;&gt;"","True","False")</f>
        <v>True</v>
      </c>
      <c r="F487"/>
      <c r="G487" s="308" t="str">
        <f aca="true" t="shared" si="16" ref="G487:G506">D487</f>
        <v>ActivitiesOfferedChoir</v>
      </c>
      <c r="H487" t="s">
        <v>1555</v>
      </c>
      <c r="K487" t="str">
        <f t="shared" si="15"/>
        <v>&lt;ActivitiesOfferedChoir Question="F2"&gt;True&lt;/ActivitiesOfferedChoir&gt;</v>
      </c>
    </row>
    <row r="488" spans="4:11" ht="12.75">
      <c r="D488" t="s">
        <v>873</v>
      </c>
      <c r="E488" s="255" t="str">
        <f>IF(ActivitiesOfferedConcertBand&lt;&gt;"","True","False")</f>
        <v>True</v>
      </c>
      <c r="F488"/>
      <c r="G488" s="308" t="str">
        <f t="shared" si="16"/>
        <v>ActivitiesOfferedConcertBand</v>
      </c>
      <c r="H488" t="s">
        <v>1555</v>
      </c>
      <c r="K488" t="str">
        <f t="shared" si="15"/>
        <v>&lt;ActivitiesOfferedConcertBand Question="F2"&gt;True&lt;/ActivitiesOfferedConcertBand&gt;</v>
      </c>
    </row>
    <row r="489" spans="4:11" ht="12.75">
      <c r="D489" t="s">
        <v>874</v>
      </c>
      <c r="E489" s="255" t="str">
        <f>IF(ActivitiesOfferedDance&lt;&gt;"","True","False")</f>
        <v>True</v>
      </c>
      <c r="F489"/>
      <c r="G489" s="308" t="str">
        <f t="shared" si="16"/>
        <v>ActivitiesOfferedDance</v>
      </c>
      <c r="H489" t="s">
        <v>1555</v>
      </c>
      <c r="K489" t="str">
        <f t="shared" si="15"/>
        <v>&lt;ActivitiesOfferedDance Question="F2"&gt;True&lt;/ActivitiesOfferedDance&gt;</v>
      </c>
    </row>
    <row r="490" spans="4:11" ht="12.75">
      <c r="D490" t="s">
        <v>875</v>
      </c>
      <c r="E490" s="255" t="str">
        <f>IF(ActivitiesOfferedDrama&lt;&gt;"","True","False")</f>
        <v>True</v>
      </c>
      <c r="F490"/>
      <c r="G490" s="308" t="str">
        <f t="shared" si="16"/>
        <v>ActivitiesOfferedDrama</v>
      </c>
      <c r="H490" t="s">
        <v>1555</v>
      </c>
      <c r="K490" t="str">
        <f t="shared" si="15"/>
        <v>&lt;ActivitiesOfferedDrama Question="F2"&gt;True&lt;/ActivitiesOfferedDrama&gt;</v>
      </c>
    </row>
    <row r="491" spans="4:11" ht="12.75">
      <c r="D491" t="s">
        <v>1882</v>
      </c>
      <c r="E491" s="255" t="str">
        <f>IF(ActivitiesOfferedInternationalStudentOrg&lt;&gt;"","True","False")</f>
        <v>True</v>
      </c>
      <c r="F491"/>
      <c r="G491" s="308" t="str">
        <f>D491</f>
        <v>ActivitiesOfferedInternationalStudentOrg</v>
      </c>
      <c r="H491" t="s">
        <v>1555</v>
      </c>
      <c r="K491" t="str">
        <f>"&lt;"&amp;G491&amp;" Question="""&amp;H491&amp;"""&gt;"&amp;IF(J491=1,"&lt;![CDATA[","")&amp;E491&amp;IF(J491=1,"]]&gt;","")&amp;"&lt;/"&amp;G491&amp;"&gt;"</f>
        <v>&lt;ActivitiesOfferedInternationalStudentOrg Question="F2"&gt;True&lt;/ActivitiesOfferedInternationalStudentOrg&gt;</v>
      </c>
    </row>
    <row r="492" spans="4:11" ht="12.75">
      <c r="D492" t="s">
        <v>876</v>
      </c>
      <c r="E492" s="255" t="str">
        <f>IF(ActivitiesOfferedJazz&lt;&gt;"","True","False")</f>
        <v>True</v>
      </c>
      <c r="F492"/>
      <c r="G492" s="308" t="str">
        <f t="shared" si="16"/>
        <v>ActivitiesOfferedJazz</v>
      </c>
      <c r="H492" t="s">
        <v>1555</v>
      </c>
      <c r="K492" t="str">
        <f t="shared" si="15"/>
        <v>&lt;ActivitiesOfferedJazz Question="F2"&gt;True&lt;/ActivitiesOfferedJazz&gt;</v>
      </c>
    </row>
    <row r="493" spans="4:11" ht="12.75">
      <c r="D493" t="s">
        <v>877</v>
      </c>
      <c r="E493" s="255" t="str">
        <f>IF(ActivitiesOfferedLiteraryMagazine&lt;&gt;"","True","False")</f>
        <v>True</v>
      </c>
      <c r="F493"/>
      <c r="G493" s="308" t="str">
        <f t="shared" si="16"/>
        <v>ActivitiesOfferedLiteraryMagazine</v>
      </c>
      <c r="H493" t="s">
        <v>1555</v>
      </c>
      <c r="K493" t="str">
        <f t="shared" si="15"/>
        <v>&lt;ActivitiesOfferedLiteraryMagazine Question="F2"&gt;True&lt;/ActivitiesOfferedLiteraryMagazine&gt;</v>
      </c>
    </row>
    <row r="494" spans="4:11" ht="12.75">
      <c r="D494" t="s">
        <v>878</v>
      </c>
      <c r="E494" s="255" t="str">
        <f>IF(ActivitiesOfferedMarchingBand&lt;&gt;"","True","False")</f>
        <v>False</v>
      </c>
      <c r="F494"/>
      <c r="G494" s="308" t="str">
        <f t="shared" si="16"/>
        <v>ActivitiesOfferedMarchingBand</v>
      </c>
      <c r="H494" t="s">
        <v>1555</v>
      </c>
      <c r="K494" t="str">
        <f t="shared" si="15"/>
        <v>&lt;ActivitiesOfferedMarchingBand Question="F2"&gt;False&lt;/ActivitiesOfferedMarchingBand&gt;</v>
      </c>
    </row>
    <row r="495" spans="4:11" ht="12.75">
      <c r="D495" t="s">
        <v>1883</v>
      </c>
      <c r="E495" s="255" t="str">
        <f>IF(ActivitiesOfferedModelUN&lt;&gt;"","True","False")</f>
        <v>True</v>
      </c>
      <c r="F495"/>
      <c r="G495" s="308" t="str">
        <f>D495</f>
        <v>ActivitiesOfferedModelUN</v>
      </c>
      <c r="H495" t="s">
        <v>1555</v>
      </c>
      <c r="K495" t="str">
        <f>"&lt;"&amp;G495&amp;" Question="""&amp;H495&amp;"""&gt;"&amp;IF(J495=1,"&lt;![CDATA[","")&amp;E495&amp;IF(J495=1,"]]&gt;","")&amp;"&lt;/"&amp;G495&amp;"&gt;"</f>
        <v>&lt;ActivitiesOfferedModelUN Question="F2"&gt;True&lt;/ActivitiesOfferedModelUN&gt;</v>
      </c>
    </row>
    <row r="496" spans="4:11" ht="12.75">
      <c r="D496" t="s">
        <v>879</v>
      </c>
      <c r="E496" s="255" t="str">
        <f>IF(ActivitiesOfferedMusicEnsembles&lt;&gt;"","True","False")</f>
        <v>True</v>
      </c>
      <c r="F496"/>
      <c r="G496" s="308" t="str">
        <f t="shared" si="16"/>
        <v>ActivitiesOfferedMusicEnsembles</v>
      </c>
      <c r="H496" t="s">
        <v>1555</v>
      </c>
      <c r="K496" t="str">
        <f t="shared" si="15"/>
        <v>&lt;ActivitiesOfferedMusicEnsembles Question="F2"&gt;True&lt;/ActivitiesOfferedMusicEnsembles&gt;</v>
      </c>
    </row>
    <row r="497" spans="4:11" ht="12.75">
      <c r="D497" t="s">
        <v>880</v>
      </c>
      <c r="E497" s="254" t="str">
        <f>IF(ActivitiesOfferedMusicalTheater&lt;&gt;"","True","False")</f>
        <v>True</v>
      </c>
      <c r="F497"/>
      <c r="G497" s="308" t="str">
        <f t="shared" si="16"/>
        <v>ActivitiesOfferedMusicalTheater</v>
      </c>
      <c r="H497" t="s">
        <v>1555</v>
      </c>
      <c r="K497" t="str">
        <f t="shared" si="15"/>
        <v>&lt;ActivitiesOfferedMusicalTheater Question="F2"&gt;True&lt;/ActivitiesOfferedMusicalTheater&gt;</v>
      </c>
    </row>
    <row r="498" spans="4:11" ht="12.75">
      <c r="D498" t="s">
        <v>881</v>
      </c>
      <c r="E498" s="254" t="str">
        <f>IF(ActivitiesOfferedOpera&lt;&gt;"","True","False")</f>
        <v>True</v>
      </c>
      <c r="F498"/>
      <c r="G498" s="308" t="str">
        <f t="shared" si="16"/>
        <v>ActivitiesOfferedOpera</v>
      </c>
      <c r="H498" t="s">
        <v>1555</v>
      </c>
      <c r="K498" t="str">
        <f t="shared" si="15"/>
        <v>&lt;ActivitiesOfferedOpera Question="F2"&gt;True&lt;/ActivitiesOfferedOpera&gt;</v>
      </c>
    </row>
    <row r="499" spans="4:11" ht="12.75">
      <c r="D499" t="s">
        <v>882</v>
      </c>
      <c r="E499" s="254" t="str">
        <f>IF(ActivitiesOfferedPepBand&lt;&gt;"","True","False")</f>
        <v>True</v>
      </c>
      <c r="F499"/>
      <c r="G499" s="308" t="str">
        <f t="shared" si="16"/>
        <v>ActivitiesOfferedPepBand</v>
      </c>
      <c r="H499" t="s">
        <v>1555</v>
      </c>
      <c r="K499" t="str">
        <f t="shared" si="15"/>
        <v>&lt;ActivitiesOfferedPepBand Question="F2"&gt;True&lt;/ActivitiesOfferedPepBand&gt;</v>
      </c>
    </row>
    <row r="500" spans="4:11" ht="12.75">
      <c r="D500" t="s">
        <v>883</v>
      </c>
      <c r="E500" s="254" t="str">
        <f>IF(ActivitiesOfferedRadio&lt;&gt;"","True","False")</f>
        <v>True</v>
      </c>
      <c r="F500"/>
      <c r="G500" s="308" t="str">
        <f t="shared" si="16"/>
        <v>ActivitiesOfferedRadio</v>
      </c>
      <c r="H500" t="s">
        <v>1555</v>
      </c>
      <c r="K500" t="str">
        <f t="shared" si="15"/>
        <v>&lt;ActivitiesOfferedRadio Question="F2"&gt;True&lt;/ActivitiesOfferedRadio&gt;</v>
      </c>
    </row>
    <row r="501" spans="4:11" ht="12.75">
      <c r="D501" t="s">
        <v>884</v>
      </c>
      <c r="E501" s="254" t="str">
        <f>IF(ActivitiesOfferedStudentGovernment&lt;&gt;"","True","False")</f>
        <v>True</v>
      </c>
      <c r="F501"/>
      <c r="G501" s="308" t="str">
        <f t="shared" si="16"/>
        <v>ActivitiesOfferedStudentGovernment</v>
      </c>
      <c r="H501" t="s">
        <v>1555</v>
      </c>
      <c r="K501" t="str">
        <f t="shared" si="15"/>
        <v>&lt;ActivitiesOfferedStudentGovernment Question="F2"&gt;True&lt;/ActivitiesOfferedStudentGovernment&gt;</v>
      </c>
    </row>
    <row r="502" spans="4:11" ht="12.75">
      <c r="D502" t="s">
        <v>885</v>
      </c>
      <c r="E502" s="254" t="str">
        <f>IF(ActivitiesOfferedNewspaper&lt;&gt;"","True","False")</f>
        <v>True</v>
      </c>
      <c r="F502"/>
      <c r="G502" s="308" t="str">
        <f t="shared" si="16"/>
        <v>ActivitiesOfferedNewspaper</v>
      </c>
      <c r="H502" t="s">
        <v>1555</v>
      </c>
      <c r="K502" t="str">
        <f t="shared" si="15"/>
        <v>&lt;ActivitiesOfferedNewspaper Question="F2"&gt;True&lt;/ActivitiesOfferedNewspaper&gt;</v>
      </c>
    </row>
    <row r="503" spans="4:11" ht="12.75">
      <c r="D503" t="s">
        <v>886</v>
      </c>
      <c r="E503" s="254" t="str">
        <f>IF(ActivitiesOfferedFilmSociety&lt;&gt;"","True","False")</f>
        <v>True</v>
      </c>
      <c r="F503"/>
      <c r="G503" s="308" t="str">
        <f t="shared" si="16"/>
        <v>ActivitiesOfferedFilmSociety</v>
      </c>
      <c r="H503" t="s">
        <v>1555</v>
      </c>
      <c r="K503" t="str">
        <f t="shared" si="15"/>
        <v>&lt;ActivitiesOfferedFilmSociety Question="F2"&gt;True&lt;/ActivitiesOfferedFilmSociety&gt;</v>
      </c>
    </row>
    <row r="504" spans="4:11" ht="12.75">
      <c r="D504" t="s">
        <v>887</v>
      </c>
      <c r="E504" s="254" t="str">
        <f>IF(ActivitiesOfferedOrchestra&lt;&gt;"","True","False")</f>
        <v>True</v>
      </c>
      <c r="F504"/>
      <c r="G504" s="308" t="str">
        <f t="shared" si="16"/>
        <v>ActivitiesOfferedOrchestra</v>
      </c>
      <c r="H504" t="s">
        <v>1555</v>
      </c>
      <c r="K504" t="str">
        <f t="shared" si="15"/>
        <v>&lt;ActivitiesOfferedOrchestra Question="F2"&gt;True&lt;/ActivitiesOfferedOrchestra&gt;</v>
      </c>
    </row>
    <row r="505" spans="4:11" ht="12.75">
      <c r="D505" t="s">
        <v>888</v>
      </c>
      <c r="E505" s="254" t="str">
        <f>IF(ActivitiesOfferedTelevision&lt;&gt;"","True","False")</f>
        <v>True</v>
      </c>
      <c r="F505"/>
      <c r="G505" s="308" t="str">
        <f t="shared" si="16"/>
        <v>ActivitiesOfferedTelevision</v>
      </c>
      <c r="H505" t="s">
        <v>1555</v>
      </c>
      <c r="K505" t="str">
        <f aca="true" t="shared" si="17" ref="K505:K522">"&lt;"&amp;G505&amp;" Question="""&amp;H505&amp;"""&gt;"&amp;IF(J505=1,"&lt;![CDATA[","")&amp;E505&amp;IF(J505=1,"]]&gt;","")&amp;"&lt;/"&amp;G505&amp;"&gt;"</f>
        <v>&lt;ActivitiesOfferedTelevision Question="F2"&gt;True&lt;/ActivitiesOfferedTelevision&gt;</v>
      </c>
    </row>
    <row r="506" spans="4:11" ht="12.75">
      <c r="D506" t="s">
        <v>889</v>
      </c>
      <c r="E506" s="254" t="str">
        <f>IF(ActivitiesOfferedYearbook&lt;&gt;"","True","False")</f>
        <v>True</v>
      </c>
      <c r="F506"/>
      <c r="G506" s="308" t="str">
        <f t="shared" si="16"/>
        <v>ActivitiesOfferedYearbook</v>
      </c>
      <c r="H506" t="s">
        <v>1555</v>
      </c>
      <c r="K506" t="str">
        <f t="shared" si="17"/>
        <v>&lt;ActivitiesOfferedYearbook Question="F2"&gt;True&lt;/ActivitiesOfferedYearbook&gt;</v>
      </c>
    </row>
    <row r="507" spans="4:11" ht="12.75">
      <c r="D507" t="s">
        <v>617</v>
      </c>
      <c r="E507" s="254">
        <f>IF(ArmyROTCOnCampus&lt;&gt;"",1,IF(ArmyROTCOffCampus&lt;&gt;"",2,-1))</f>
        <v>1</v>
      </c>
      <c r="F507"/>
      <c r="G507" s="307" t="s">
        <v>617</v>
      </c>
      <c r="H507" t="s">
        <v>1554</v>
      </c>
      <c r="K507" t="str">
        <f t="shared" si="17"/>
        <v>&lt;ArmyROTCLocation Question="F3"&gt;1&lt;/ArmyROTCLocation&gt;</v>
      </c>
    </row>
    <row r="508" spans="4:11" ht="12.75">
      <c r="D508" t="s">
        <v>890</v>
      </c>
      <c r="E508" s="254">
        <f>IF(ArmyROTCOffCampusInstitution&lt;&gt;"",ArmyROTCOffCampusInstitution,"")</f>
      </c>
      <c r="F508" t="str">
        <f>"=IF("&amp;D508&amp;"&lt;&gt;"""","&amp;D508&amp;","""")"</f>
        <v>=IF(ArmyROTCOffCampusInstitution&lt;&gt;"",ArmyROTCOffCampusInstitution,"")</v>
      </c>
      <c r="G508" s="307" t="s">
        <v>890</v>
      </c>
      <c r="H508" t="s">
        <v>1554</v>
      </c>
      <c r="J508">
        <v>1</v>
      </c>
      <c r="K508" t="str">
        <f t="shared" si="17"/>
        <v>&lt;ArmyROTCOffCampusInstitution Question="F3"&gt;&lt;![CDATA[]]&gt;&lt;/ArmyROTCOffCampusInstitution&gt;</v>
      </c>
    </row>
    <row r="509" spans="4:11" ht="12.75">
      <c r="D509" t="s">
        <v>618</v>
      </c>
      <c r="E509" s="254">
        <f>IF(NavalROTCOnCampus&lt;&gt;"",1,IF(NavalROTCOffCampus&lt;&gt;"",2,-1))</f>
        <v>-1</v>
      </c>
      <c r="F509"/>
      <c r="G509" s="307" t="s">
        <v>618</v>
      </c>
      <c r="H509" t="s">
        <v>1554</v>
      </c>
      <c r="K509" t="str">
        <f t="shared" si="17"/>
        <v>&lt;NavalROTCLocation Question="F3"&gt;-1&lt;/NavalROTCLocation&gt;</v>
      </c>
    </row>
    <row r="510" spans="4:11" ht="12.75">
      <c r="D510" t="s">
        <v>891</v>
      </c>
      <c r="E510" s="254">
        <f>IF(NavalROTCOffCampusInstitution&lt;&gt;"",NavalROTCOffCampusInstitution,"")</f>
      </c>
      <c r="F510"/>
      <c r="G510" s="307" t="s">
        <v>891</v>
      </c>
      <c r="H510" t="s">
        <v>1554</v>
      </c>
      <c r="J510">
        <v>1</v>
      </c>
      <c r="K510" t="str">
        <f t="shared" si="17"/>
        <v>&lt;NavalROTCOffCampusInstitution Question="F3"&gt;&lt;![CDATA[]]&gt;&lt;/NavalROTCOffCampusInstitution&gt;</v>
      </c>
    </row>
    <row r="511" spans="4:11" ht="12.75">
      <c r="D511" t="s">
        <v>619</v>
      </c>
      <c r="E511" s="254">
        <f>IF(AirForceROTCOnCampus&lt;&gt;"",1,IF(AirForceROTCOffCampus&lt;&gt;"",2,-1))</f>
        <v>-1</v>
      </c>
      <c r="F511"/>
      <c r="G511" s="307" t="s">
        <v>619</v>
      </c>
      <c r="H511" t="s">
        <v>1554</v>
      </c>
      <c r="K511" t="str">
        <f t="shared" si="17"/>
        <v>&lt;AirForceROTCLocation Question="F3"&gt;-1&lt;/AirForceROTCLocation&gt;</v>
      </c>
    </row>
    <row r="512" spans="4:11" ht="12.75">
      <c r="D512" t="s">
        <v>892</v>
      </c>
      <c r="E512" s="254">
        <f>IF(AirForceROTCOffCampusInstitution&lt;&gt;"",AirForceROTCOffCampusInstitution,"")</f>
      </c>
      <c r="F512"/>
      <c r="G512" s="307" t="s">
        <v>892</v>
      </c>
      <c r="H512" t="s">
        <v>1554</v>
      </c>
      <c r="J512">
        <v>1</v>
      </c>
      <c r="K512" t="str">
        <f t="shared" si="17"/>
        <v>&lt;AirForceROTCOffCampusInstitution Question="F3"&gt;&lt;![CDATA[]]&gt;&lt;/AirForceROTCOffCampusInstitution&gt;</v>
      </c>
    </row>
    <row r="513" spans="4:11" ht="12.75">
      <c r="D513" t="s">
        <v>893</v>
      </c>
      <c r="E513" s="254" t="str">
        <f>IF(HousingCoedDorms&lt;&gt;"","True","False")</f>
        <v>True</v>
      </c>
      <c r="F513" t="str">
        <f>"=IF("&amp;D513&amp;"&lt;&gt;"""",""True"",""False"")"</f>
        <v>=IF(HousingCoedDorms&lt;&gt;"","True","False")</v>
      </c>
      <c r="G513" s="307" t="s">
        <v>893</v>
      </c>
      <c r="H513" t="s">
        <v>1553</v>
      </c>
      <c r="K513" t="str">
        <f t="shared" si="17"/>
        <v>&lt;HousingCoedDorms Question="F4"&gt;True&lt;/HousingCoedDorms&gt;</v>
      </c>
    </row>
    <row r="514" spans="4:11" ht="12.75">
      <c r="D514" t="s">
        <v>894</v>
      </c>
      <c r="E514" s="254" t="str">
        <f>IF(HousingMensDorms&lt;&gt;"","True","False")</f>
        <v>True</v>
      </c>
      <c r="F514"/>
      <c r="G514" s="307" t="s">
        <v>894</v>
      </c>
      <c r="H514" t="s">
        <v>1553</v>
      </c>
      <c r="K514" t="str">
        <f t="shared" si="17"/>
        <v>&lt;HousingMensDorms Question="F4"&gt;True&lt;/HousingMensDorms&gt;</v>
      </c>
    </row>
    <row r="515" spans="4:11" ht="12.75">
      <c r="D515" t="s">
        <v>895</v>
      </c>
      <c r="E515" s="254" t="str">
        <f>IF(HousingWomensDorms&lt;&gt;"","True","False")</f>
        <v>True</v>
      </c>
      <c r="F515"/>
      <c r="G515" s="307" t="s">
        <v>895</v>
      </c>
      <c r="H515" t="s">
        <v>1553</v>
      </c>
      <c r="K515" t="str">
        <f t="shared" si="17"/>
        <v>&lt;HousingWomensDorms Question="F4"&gt;True&lt;/HousingWomensDorms&gt;</v>
      </c>
    </row>
    <row r="516" spans="4:11" ht="12.75">
      <c r="D516" t="s">
        <v>896</v>
      </c>
      <c r="E516" s="254" t="str">
        <f>IF(HousingMarriedApartments&lt;&gt;"","True","False")</f>
        <v>True</v>
      </c>
      <c r="F516"/>
      <c r="G516" s="307" t="s">
        <v>896</v>
      </c>
      <c r="H516" t="s">
        <v>1553</v>
      </c>
      <c r="K516" t="str">
        <f t="shared" si="17"/>
        <v>&lt;HousingMarriedApartments Question="F4"&gt;True&lt;/HousingMarriedApartments&gt;</v>
      </c>
    </row>
    <row r="517" spans="4:11" ht="12.75">
      <c r="D517" t="s">
        <v>897</v>
      </c>
      <c r="E517" s="254" t="str">
        <f>IF(HousingSingleApartments&lt;&gt;"","True","False")</f>
        <v>True</v>
      </c>
      <c r="F517"/>
      <c r="G517" s="307" t="s">
        <v>897</v>
      </c>
      <c r="H517" t="s">
        <v>1553</v>
      </c>
      <c r="K517" t="str">
        <f t="shared" si="17"/>
        <v>&lt;HousingSingleApartments Question="F4"&gt;True&lt;/HousingSingleApartments&gt;</v>
      </c>
    </row>
    <row r="518" spans="4:11" ht="12.75">
      <c r="D518" t="s">
        <v>898</v>
      </c>
      <c r="E518" s="254" t="str">
        <f>IF(HousingForDisabledStudents&lt;&gt;"","True","False")</f>
        <v>True</v>
      </c>
      <c r="F518"/>
      <c r="G518" s="307" t="s">
        <v>898</v>
      </c>
      <c r="H518" t="s">
        <v>1553</v>
      </c>
      <c r="K518" t="str">
        <f t="shared" si="17"/>
        <v>&lt;HousingForDisabledStudents Question="F4"&gt;True&lt;/HousingForDisabledStudents&gt;</v>
      </c>
    </row>
    <row r="519" spans="4:11" ht="12.75">
      <c r="D519" t="s">
        <v>899</v>
      </c>
      <c r="E519" s="254" t="str">
        <f>IF(HousingForInternationalStudents&lt;&gt;"","True","False")</f>
        <v>True</v>
      </c>
      <c r="F519"/>
      <c r="G519" s="307" t="s">
        <v>899</v>
      </c>
      <c r="H519" t="s">
        <v>1553</v>
      </c>
      <c r="K519" t="str">
        <f t="shared" si="17"/>
        <v>&lt;HousingForInternationalStudents Question="F4"&gt;True&lt;/HousingForInternationalStudents&gt;</v>
      </c>
    </row>
    <row r="520" spans="4:11" ht="12.75">
      <c r="D520" t="s">
        <v>900</v>
      </c>
      <c r="E520" s="254" t="str">
        <f>IF(HousingGreekForGreekSystem&lt;&gt;"","True","False")</f>
        <v>True</v>
      </c>
      <c r="F520"/>
      <c r="G520" s="307" t="s">
        <v>900</v>
      </c>
      <c r="H520" t="s">
        <v>1553</v>
      </c>
      <c r="K520" t="str">
        <f t="shared" si="17"/>
        <v>&lt;HousingGreekForGreekSystem Question="F4"&gt;True&lt;/HousingGreekForGreekSystem&gt;</v>
      </c>
    </row>
    <row r="521" spans="4:11" ht="12.75">
      <c r="D521" t="s">
        <v>901</v>
      </c>
      <c r="E521" s="254" t="str">
        <f>IF(HousingCooperative&lt;&gt;"","True","False")</f>
        <v>False</v>
      </c>
      <c r="F521"/>
      <c r="G521" s="307" t="s">
        <v>901</v>
      </c>
      <c r="H521" t="s">
        <v>1553</v>
      </c>
      <c r="K521" t="str">
        <f t="shared" si="17"/>
        <v>&lt;HousingCooperative Question="F4"&gt;False&lt;/HousingCooperative&gt;</v>
      </c>
    </row>
    <row r="522" spans="4:11" ht="12.75">
      <c r="D522" t="s">
        <v>902</v>
      </c>
      <c r="E522" s="254">
        <f>IF(HousingOtherOptions&lt;&gt;"",HousingOtherOptions,"")</f>
      </c>
      <c r="F522" t="str">
        <f>"=IF("&amp;D522&amp;"&lt;&gt;"""","&amp;D522&amp;","""")"</f>
        <v>=IF(HousingOtherOptions&lt;&gt;"",HousingOtherOptions,"")</v>
      </c>
      <c r="G522" s="307" t="s">
        <v>902</v>
      </c>
      <c r="H522" t="s">
        <v>1553</v>
      </c>
      <c r="J522">
        <v>1</v>
      </c>
      <c r="K522" t="str">
        <f t="shared" si="17"/>
        <v>&lt;HousingOtherOptions Question="F4"&gt;&lt;![CDATA[]]&gt;&lt;/HousingOtherOptions&gt;</v>
      </c>
    </row>
    <row r="523" spans="5:11" ht="12.75">
      <c r="E523" s="255"/>
      <c r="F523"/>
      <c r="G523" s="308"/>
      <c r="K523" t="s">
        <v>616</v>
      </c>
    </row>
    <row r="524" spans="2:11" ht="12.75">
      <c r="B524" t="s">
        <v>903</v>
      </c>
      <c r="F524"/>
      <c r="K524" t="s">
        <v>620</v>
      </c>
    </row>
    <row r="525" spans="4:11" ht="12.75">
      <c r="D525" t="s">
        <v>1452</v>
      </c>
      <c r="E525" s="254" t="str">
        <f>IF(CostOfAttendanceNotAvailable&lt;&gt;"","True","False")</f>
        <v>False</v>
      </c>
      <c r="F525" t="str">
        <f>"=IF("&amp;D525&amp;"&lt;&gt;"""",""True"",""False"")"</f>
        <v>=IF(CostOfAttendanceNotAvailable&lt;&gt;"","True","False")</v>
      </c>
      <c r="G525" s="307" t="s">
        <v>1452</v>
      </c>
      <c r="K525" t="str">
        <f>"&lt;"&amp;G525&amp;"&gt;"&amp;IF(J525=1,"&lt;![CDATA[","")&amp;E525&amp;IF(J525=1,"]]&gt;","")&amp;"&lt;/"&amp;G525&amp;"&gt;"</f>
        <v>&lt;CostOfAttendanceNotAvailable&gt;False&lt;/CostOfAttendanceNotAvailable&gt;</v>
      </c>
    </row>
    <row r="526" spans="4:11" ht="12.75">
      <c r="D526" t="s">
        <v>1451</v>
      </c>
      <c r="E526" s="293" t="str">
        <f>IF(CostOfAttendanceAvailableDate&gt;0,MONTH(CostOfAttendanceAvailableDate)&amp;"/"&amp;DAY(CostOfAttendanceAvailableDate)&amp;"/"&amp;YEAR(CostOfAttendanceAvailableDate),"-1")</f>
        <v>-1</v>
      </c>
      <c r="F526" t="str">
        <f>"=IF("&amp;D526&amp;"&gt;0,MONTH("&amp;D526&amp;")&amp;""/""&amp;DAY("&amp;D526&amp;")&amp;""/""&amp;Year("&amp;D526&amp;"),""-1"")"</f>
        <v>=IF(CostOfAttendanceAvailableDate&gt;0,MONTH(CostOfAttendanceAvailableDate)&amp;"/"&amp;DAY(CostOfAttendanceAvailableDate)&amp;"/"&amp;Year(CostOfAttendanceAvailableDate),"-1")</v>
      </c>
      <c r="G526" s="317" t="s">
        <v>1451</v>
      </c>
      <c r="K526" t="str">
        <f>"&lt;"&amp;G526&amp;"&gt;"&amp;IF(J526=1,"&lt;![CDATA[","")&amp;E526&amp;IF(J526=1,"]]&gt;","")&amp;"&lt;/"&amp;G526&amp;"&gt;"</f>
        <v>&lt;CostOfAttendanceAvailableDate&gt;-1&lt;/CostOfAttendanceAvailableDate&gt;</v>
      </c>
    </row>
    <row r="527" spans="4:11" ht="12.75">
      <c r="D527" t="s">
        <v>1453</v>
      </c>
      <c r="E527" s="269">
        <f>IF(TuitionPrivateFreshmen&lt;&gt;"",TuitionPrivateFreshmen,-1)</f>
        <v>-1</v>
      </c>
      <c r="F527" t="str">
        <f>"=IF("&amp;D527&amp;"&lt;&gt;"""","&amp;D527&amp;",-1)"</f>
        <v>=IF(TuitionPrivateFreshmen&lt;&gt;"",TuitionPrivateFreshmen,-1)</v>
      </c>
      <c r="G527" s="311" t="s">
        <v>1453</v>
      </c>
      <c r="H527" t="s">
        <v>323</v>
      </c>
      <c r="K527" t="str">
        <f aca="true" t="shared" si="18" ref="K527:K568">"&lt;"&amp;G527&amp;" Question="""&amp;H527&amp;"""&gt;"&amp;IF(J527=1,"&lt;![CDATA[","")&amp;E527&amp;IF(J527=1,"]]&gt;","")&amp;"&lt;/"&amp;G527&amp;"&gt;"</f>
        <v>&lt;TuitionPrivateFreshmen Question="G1"&gt;-1&lt;/TuitionPrivateFreshmen&gt;</v>
      </c>
    </row>
    <row r="528" spans="4:11" ht="12.75">
      <c r="D528" t="s">
        <v>1454</v>
      </c>
      <c r="E528" s="269">
        <f>IF(TuitionPrivateStudents&lt;&gt;"",TuitionPrivateStudents,-1)</f>
        <v>-1</v>
      </c>
      <c r="F528"/>
      <c r="G528" s="311" t="s">
        <v>1454</v>
      </c>
      <c r="H528" t="s">
        <v>323</v>
      </c>
      <c r="K528" t="str">
        <f t="shared" si="18"/>
        <v>&lt;TuitionPrivateStudents Question="G1"&gt;-1&lt;/TuitionPrivateStudents&gt;</v>
      </c>
    </row>
    <row r="529" spans="4:11" ht="12.75">
      <c r="D529" t="s">
        <v>1455</v>
      </c>
      <c r="E529" s="269">
        <f>IF(TuitionPublicFreshmenInDistrict&lt;&gt;"",TuitionPublicFreshmenInDistrict,-1)</f>
        <v>6090</v>
      </c>
      <c r="F529"/>
      <c r="G529" s="311" t="s">
        <v>1455</v>
      </c>
      <c r="H529" t="s">
        <v>323</v>
      </c>
      <c r="K529" t="str">
        <f t="shared" si="18"/>
        <v>&lt;TuitionPublicFreshmenInDistrict Question="G1"&gt;6090&lt;/TuitionPublicFreshmenInDistrict&gt;</v>
      </c>
    </row>
    <row r="530" spans="4:11" ht="12.75">
      <c r="D530" t="s">
        <v>1456</v>
      </c>
      <c r="E530" s="269">
        <f>IF(TuitionPublicStudentsInDistrict&lt;&gt;"",TuitionPublicStudentsInDistrict,-1)</f>
        <v>6090</v>
      </c>
      <c r="F530"/>
      <c r="G530" s="311" t="s">
        <v>1456</v>
      </c>
      <c r="H530" t="s">
        <v>323</v>
      </c>
      <c r="K530" t="str">
        <f t="shared" si="18"/>
        <v>&lt;TuitionPublicStudentsInDistrict Question="G1"&gt;6090&lt;/TuitionPublicStudentsInDistrict&gt;</v>
      </c>
    </row>
    <row r="531" spans="4:11" ht="12.75">
      <c r="D531" t="s">
        <v>1457</v>
      </c>
      <c r="E531" s="269">
        <f>IF(TuitionPublicFreshmenInState&lt;&gt;"",TuitionPublicFreshmenInState,-1)</f>
        <v>6090</v>
      </c>
      <c r="F531"/>
      <c r="G531" s="311" t="s">
        <v>1457</v>
      </c>
      <c r="H531" t="s">
        <v>323</v>
      </c>
      <c r="K531" t="str">
        <f t="shared" si="18"/>
        <v>&lt;TuitionPublicFreshmenInState Question="G1"&gt;6090&lt;/TuitionPublicFreshmenInState&gt;</v>
      </c>
    </row>
    <row r="532" spans="4:11" ht="12.75">
      <c r="D532" t="s">
        <v>1458</v>
      </c>
      <c r="E532" s="269">
        <f>IF(TuitionPublicStudentsInState&lt;&gt;"",TuitionPublicStudentsInState,-1)</f>
        <v>6090</v>
      </c>
      <c r="F532"/>
      <c r="G532" s="311" t="s">
        <v>1458</v>
      </c>
      <c r="H532" t="s">
        <v>323</v>
      </c>
      <c r="K532" t="str">
        <f t="shared" si="18"/>
        <v>&lt;TuitionPublicStudentsInState Question="G1"&gt;6090&lt;/TuitionPublicStudentsInState&gt;</v>
      </c>
    </row>
    <row r="533" spans="4:11" ht="12.75">
      <c r="D533" t="s">
        <v>1459</v>
      </c>
      <c r="E533" s="269">
        <f>IF(TuitionPublicFreshmenOutOfState&lt;&gt;"",TuitionPublicFreshmenOutOfState,-1)</f>
        <v>24960</v>
      </c>
      <c r="F533"/>
      <c r="G533" s="311" t="s">
        <v>1459</v>
      </c>
      <c r="H533" t="s">
        <v>323</v>
      </c>
      <c r="K533" t="str">
        <f t="shared" si="18"/>
        <v>&lt;TuitionPublicFreshmenOutOfState Question="G1"&gt;24960&lt;/TuitionPublicFreshmenOutOfState&gt;</v>
      </c>
    </row>
    <row r="534" spans="4:11" ht="12.75">
      <c r="D534" t="s">
        <v>1460</v>
      </c>
      <c r="E534" s="269">
        <f>IF(TuitionPublicOutOfState&lt;&gt;"",TuitionPublicOutOfState,-1)</f>
        <v>24960</v>
      </c>
      <c r="F534"/>
      <c r="G534" s="311" t="s">
        <v>1460</v>
      </c>
      <c r="H534" t="s">
        <v>323</v>
      </c>
      <c r="K534" t="str">
        <f t="shared" si="18"/>
        <v>&lt;TuitionPublicOutOfState Question="G1"&gt;24960&lt;/TuitionPublicOutOfState&gt;</v>
      </c>
    </row>
    <row r="535" spans="4:11" ht="12.75">
      <c r="D535" t="s">
        <v>1461</v>
      </c>
      <c r="E535" s="269">
        <f>IF(TuitionFreshmenInternational&lt;&gt;"",TuitionFreshmenInternational,-1)</f>
        <v>-1</v>
      </c>
      <c r="F535"/>
      <c r="G535" s="311" t="s">
        <v>1461</v>
      </c>
      <c r="H535" t="s">
        <v>323</v>
      </c>
      <c r="K535" t="str">
        <f t="shared" si="18"/>
        <v>&lt;TuitionFreshmenInternational Question="G1"&gt;-1&lt;/TuitionFreshmenInternational&gt;</v>
      </c>
    </row>
    <row r="536" spans="4:11" ht="12.75">
      <c r="D536" t="s">
        <v>1462</v>
      </c>
      <c r="E536" s="269">
        <f>IF(TuitionStudentsInternational&lt;&gt;"",TuitionStudentsInternational,-1)</f>
        <v>-1</v>
      </c>
      <c r="F536"/>
      <c r="G536" s="311" t="s">
        <v>1462</v>
      </c>
      <c r="H536" t="s">
        <v>323</v>
      </c>
      <c r="K536" t="str">
        <f t="shared" si="18"/>
        <v>&lt;TuitionStudentsInternational Question="G1"&gt;-1&lt;/TuitionStudentsInternational&gt;</v>
      </c>
    </row>
    <row r="537" spans="4:11" ht="12.75">
      <c r="D537" t="s">
        <v>1463</v>
      </c>
      <c r="E537" s="269">
        <f>IF(RequiredFeesFreshmen&lt;&gt;"",RequiredFeesFreshmen,-1)</f>
        <v>4156</v>
      </c>
      <c r="F537"/>
      <c r="G537" s="311" t="s">
        <v>1463</v>
      </c>
      <c r="H537" t="s">
        <v>323</v>
      </c>
      <c r="K537" t="str">
        <f t="shared" si="18"/>
        <v>&lt;RequiredFeesFreshmen Question="G1"&gt;4156&lt;/RequiredFeesFreshmen&gt;</v>
      </c>
    </row>
    <row r="538" spans="4:11" ht="12.75">
      <c r="D538" t="s">
        <v>1464</v>
      </c>
      <c r="E538" s="269">
        <f>IF(RequiredFeesStudents&lt;&gt;"",RequiredFeesStudents,-1)</f>
        <v>4156</v>
      </c>
      <c r="F538"/>
      <c r="G538" s="311" t="s">
        <v>1464</v>
      </c>
      <c r="H538" t="s">
        <v>323</v>
      </c>
      <c r="K538" t="str">
        <f t="shared" si="18"/>
        <v>&lt;RequiredFeesStudents Question="G1"&gt;4156&lt;/RequiredFeesStudents&gt;</v>
      </c>
    </row>
    <row r="539" spans="4:11" ht="12.75">
      <c r="D539" t="s">
        <v>1465</v>
      </c>
      <c r="E539" s="269">
        <f>IF(RoomAndBoardFreshmen&lt;&gt;"",RoomAndBoardFreshmen,-1)</f>
        <v>8030</v>
      </c>
      <c r="F539"/>
      <c r="G539" s="311" t="s">
        <v>1465</v>
      </c>
      <c r="H539" t="s">
        <v>323</v>
      </c>
      <c r="K539" t="str">
        <f t="shared" si="18"/>
        <v>&lt;RoomAndBoardFreshmen Question="G1"&gt;8030&lt;/RoomAndBoardFreshmen&gt;</v>
      </c>
    </row>
    <row r="540" spans="4:11" ht="12.75">
      <c r="D540" t="s">
        <v>1466</v>
      </c>
      <c r="E540" s="269">
        <f>IF(RoomAndBoardStudents&lt;&gt;"",RoomAndBoardStudents,-1)</f>
        <v>8030</v>
      </c>
      <c r="F540"/>
      <c r="G540" s="311" t="s">
        <v>1466</v>
      </c>
      <c r="H540" t="s">
        <v>323</v>
      </c>
      <c r="K540" t="str">
        <f t="shared" si="18"/>
        <v>&lt;RoomAndBoardStudents Question="G1"&gt;8030&lt;/RoomAndBoardStudents&gt;</v>
      </c>
    </row>
    <row r="541" spans="4:11" ht="12.75">
      <c r="D541" t="s">
        <v>1467</v>
      </c>
      <c r="E541" s="269">
        <f>IF(RoomOnlyFreshmen&lt;&gt;"",RoomOnlyFreshmen,-1)</f>
        <v>4746</v>
      </c>
      <c r="F541"/>
      <c r="G541" s="311" t="s">
        <v>1467</v>
      </c>
      <c r="H541" t="s">
        <v>323</v>
      </c>
      <c r="K541" t="str">
        <f t="shared" si="18"/>
        <v>&lt;RoomOnlyFreshmen Question="G1"&gt;4746&lt;/RoomOnlyFreshmen&gt;</v>
      </c>
    </row>
    <row r="542" spans="4:11" ht="12.75">
      <c r="D542" t="s">
        <v>1468</v>
      </c>
      <c r="E542" s="269">
        <f>IF(RoomOnlyStudents&lt;&gt;"",RoomOnlyStudents,-1)</f>
        <v>4746</v>
      </c>
      <c r="F542"/>
      <c r="G542" s="311" t="s">
        <v>1468</v>
      </c>
      <c r="H542" t="s">
        <v>323</v>
      </c>
      <c r="K542" t="str">
        <f t="shared" si="18"/>
        <v>&lt;RoomOnlyStudents Question="G1"&gt;4746&lt;/RoomOnlyStudents&gt;</v>
      </c>
    </row>
    <row r="543" spans="4:11" ht="12.75">
      <c r="D543" t="s">
        <v>1469</v>
      </c>
      <c r="E543" s="269">
        <f>IF(BoardOnlyFreshmen&lt;&gt;"",BoardOnlyFreshmen,-1)</f>
        <v>3284</v>
      </c>
      <c r="F543"/>
      <c r="G543" s="311" t="s">
        <v>1469</v>
      </c>
      <c r="H543" t="s">
        <v>323</v>
      </c>
      <c r="K543" t="str">
        <f t="shared" si="18"/>
        <v>&lt;BoardOnlyFreshmen Question="G1"&gt;3284&lt;/BoardOnlyFreshmen&gt;</v>
      </c>
    </row>
    <row r="544" spans="4:11" ht="12.75">
      <c r="D544" t="s">
        <v>1470</v>
      </c>
      <c r="E544" s="269">
        <f>IF(BoardOnlyStudents&lt;&gt;"",BoardOnlyStudents,-1)</f>
        <v>3284</v>
      </c>
      <c r="F544"/>
      <c r="G544" s="311" t="s">
        <v>1470</v>
      </c>
      <c r="H544" t="s">
        <v>323</v>
      </c>
      <c r="K544" t="str">
        <f t="shared" si="18"/>
        <v>&lt;BoardOnlyStudents Question="G1"&gt;3284&lt;/BoardOnlyStudents&gt;</v>
      </c>
    </row>
    <row r="545" spans="4:11" ht="12.75">
      <c r="D545" t="s">
        <v>1471</v>
      </c>
      <c r="E545" s="269" t="str">
        <f>IF(ComprehensiveTuitionAndRoomAndBoard&lt;&gt;"",ComprehensiveTuitionAndRoomAndBoard,-1)</f>
        <v>NA</v>
      </c>
      <c r="F545"/>
      <c r="G545" s="311" t="s">
        <v>1471</v>
      </c>
      <c r="H545" t="s">
        <v>323</v>
      </c>
      <c r="K545" t="str">
        <f t="shared" si="18"/>
        <v>&lt;ComprehensiveTuitionAndRoomAndBoard Question="G1"&gt;NA&lt;/ComprehensiveTuitionAndRoomAndBoard&gt;</v>
      </c>
    </row>
    <row r="546" spans="4:11" ht="12.75">
      <c r="D546" t="s">
        <v>1472</v>
      </c>
      <c r="E546" s="254">
        <f>IF(CostOfAttendanceOther&lt;&gt;"",CostOfAttendanceOther,"")</f>
      </c>
      <c r="F546" t="str">
        <f>"=IF("&amp;D546&amp;"&lt;&gt;"""","&amp;D546&amp;","""")"</f>
        <v>=IF(CostOfAttendanceOther&lt;&gt;"",CostOfAttendanceOther,"")</v>
      </c>
      <c r="G546" s="307" t="s">
        <v>1472</v>
      </c>
      <c r="H546" t="s">
        <v>323</v>
      </c>
      <c r="J546">
        <v>1</v>
      </c>
      <c r="K546" t="str">
        <f t="shared" si="18"/>
        <v>&lt;CostOfAttendanceOther Question="G1"&gt;&lt;![CDATA[]]&gt;&lt;/CostOfAttendanceOther&gt;</v>
      </c>
    </row>
    <row r="547" spans="4:11" ht="12.75">
      <c r="D547" t="s">
        <v>1028</v>
      </c>
      <c r="E547" s="254">
        <f>IF(CreditsForFullTuitionMinimum&lt;&gt;"",CreditsForFullTuitionMinimum,-1)</f>
        <v>12</v>
      </c>
      <c r="F547" t="str">
        <f>"=IF("&amp;D547&amp;"&lt;&gt;"""","&amp;D547&amp;",-1)"</f>
        <v>=IF(CreditsForFullTuitionMinimum&lt;&gt;"",CreditsForFullTuitionMinimum,-1)</v>
      </c>
      <c r="G547" s="307" t="s">
        <v>1028</v>
      </c>
      <c r="H547" t="s">
        <v>1693</v>
      </c>
      <c r="K547" t="str">
        <f t="shared" si="18"/>
        <v>&lt;CreditsForFullTuitionMinimum Question="G2"&gt;12&lt;/CreditsForFullTuitionMinimum&gt;</v>
      </c>
    </row>
    <row r="548" spans="4:11" ht="12.75">
      <c r="D548" t="s">
        <v>1029</v>
      </c>
      <c r="E548" s="254">
        <f>IF(CreditsForFullTuitionMaximum&lt;&gt;"",CreditsForFullTuitionMaximum,-1)</f>
        <v>18</v>
      </c>
      <c r="F548" t="str">
        <f>"=IF("&amp;D548&amp;"&lt;&gt;"""","&amp;D548&amp;",-1)"</f>
        <v>=IF(CreditsForFullTuitionMaximum&lt;&gt;"",CreditsForFullTuitionMaximum,-1)</v>
      </c>
      <c r="G548" s="307" t="s">
        <v>1029</v>
      </c>
      <c r="H548" t="s">
        <v>1693</v>
      </c>
      <c r="K548" t="str">
        <f t="shared" si="18"/>
        <v>&lt;CreditsForFullTuitionMaximum Question="G2"&gt;18&lt;/CreditsForFullTuitionMaximum&gt;</v>
      </c>
    </row>
    <row r="549" spans="4:11" ht="12.75">
      <c r="D549" t="s">
        <v>1030</v>
      </c>
      <c r="E549" s="254">
        <f>IF(TuitionVaryByYear1&lt;&gt;"",1,IF(TuitionVaryByYear2&lt;&gt;"",0,-1))</f>
        <v>0</v>
      </c>
      <c r="F549" t="str">
        <f>"=IF("&amp;D549&amp;"1&lt;&gt;"""",1,IF("&amp;D549&amp;"2&lt;&gt;"""",0,-1))"</f>
        <v>=IF(TuitionVaryByYear1&lt;&gt;"",1,IF(TuitionVaryByYear2&lt;&gt;"",0,-1))</v>
      </c>
      <c r="G549" s="307" t="s">
        <v>1030</v>
      </c>
      <c r="H549" t="s">
        <v>1694</v>
      </c>
      <c r="K549" t="str">
        <f t="shared" si="18"/>
        <v>&lt;TuitionVaryByYear Question="G3"&gt;0&lt;/TuitionVaryByYear&gt;</v>
      </c>
    </row>
    <row r="550" spans="4:11" ht="12.75">
      <c r="D550" t="s">
        <v>1031</v>
      </c>
      <c r="E550" s="254">
        <f>IF(TuitionVaryByProgramExplanation&lt;&gt;"",TuitionVaryByProgramExplanation,"")</f>
      </c>
      <c r="F550" t="str">
        <f>"=IF("&amp;D550&amp;"&lt;&gt;"""","&amp;D550&amp;","""")"</f>
        <v>=IF(TuitionVaryByProgramExplanation&lt;&gt;"",TuitionVaryByProgramExplanation,"")</v>
      </c>
      <c r="G550" s="307" t="s">
        <v>1031</v>
      </c>
      <c r="H550" t="s">
        <v>1695</v>
      </c>
      <c r="J550">
        <v>1</v>
      </c>
      <c r="K550" t="str">
        <f t="shared" si="18"/>
        <v>&lt;TuitionVaryByProgramExplanation Question="G4"&gt;&lt;![CDATA[]]&gt;&lt;/TuitionVaryByProgramExplanation&gt;</v>
      </c>
    </row>
    <row r="551" spans="4:11" ht="12.75">
      <c r="D551" t="s">
        <v>1032</v>
      </c>
      <c r="E551" s="269">
        <f>IF(ExpensesBooksResidents&lt;&gt;"",ExpensesBooksResidents,-1)</f>
        <v>1000</v>
      </c>
      <c r="F551" t="str">
        <f>"=IF("&amp;D551&amp;"&lt;&gt;"""","&amp;D551&amp;",-1)"</f>
        <v>=IF(ExpensesBooksResidents&lt;&gt;"",ExpensesBooksResidents,-1)</v>
      </c>
      <c r="G551" s="311" t="s">
        <v>1032</v>
      </c>
      <c r="H551" t="s">
        <v>1696</v>
      </c>
      <c r="K551" t="str">
        <f t="shared" si="18"/>
        <v>&lt;ExpensesBooksResidents Question="G5"&gt;1000&lt;/ExpensesBooksResidents&gt;</v>
      </c>
    </row>
    <row r="552" spans="4:11" ht="12.75">
      <c r="D552" t="s">
        <v>1033</v>
      </c>
      <c r="E552" s="269">
        <f>IF(ExpensesBooksHomeCommuters&lt;&gt;"",ExpensesBooksHomeCommuters,-1)</f>
        <v>1000</v>
      </c>
      <c r="F552"/>
      <c r="G552" s="311" t="s">
        <v>1033</v>
      </c>
      <c r="H552" t="s">
        <v>1696</v>
      </c>
      <c r="K552" t="str">
        <f t="shared" si="18"/>
        <v>&lt;ExpensesBooksHomeCommuters Question="G5"&gt;1000&lt;/ExpensesBooksHomeCommuters&gt;</v>
      </c>
    </row>
    <row r="553" spans="4:11" ht="12.75">
      <c r="D553" t="s">
        <v>1034</v>
      </c>
      <c r="E553" s="269">
        <f>IF(ExpensesBooksNonHomeCommuters&lt;&gt;"",ExpensesBooksNonHomeCommuters,-1)</f>
        <v>1000</v>
      </c>
      <c r="F553"/>
      <c r="G553" s="311" t="s">
        <v>1034</v>
      </c>
      <c r="H553" t="s">
        <v>1696</v>
      </c>
      <c r="K553" t="str">
        <f t="shared" si="18"/>
        <v>&lt;ExpensesBooksNonHomeCommuters Question="G5"&gt;1000&lt;/ExpensesBooksNonHomeCommuters&gt;</v>
      </c>
    </row>
    <row r="554" spans="4:11" ht="12.75">
      <c r="D554" t="s">
        <v>1035</v>
      </c>
      <c r="E554" s="269">
        <f>IF(ExpensesRoomNonHomeCommuters&lt;&gt;"",ExpensesRoomNonHomeCommuters,-1)</f>
        <v>4746</v>
      </c>
      <c r="F554"/>
      <c r="G554" s="311" t="s">
        <v>1035</v>
      </c>
      <c r="H554" t="s">
        <v>1696</v>
      </c>
      <c r="K554" t="str">
        <f t="shared" si="18"/>
        <v>&lt;ExpensesRoomNonHomeCommuters Question="G5"&gt;4746&lt;/ExpensesRoomNonHomeCommuters&gt;</v>
      </c>
    </row>
    <row r="555" spans="4:11" ht="12.75">
      <c r="D555" t="s">
        <v>1036</v>
      </c>
      <c r="E555" s="269">
        <f>IF(ExpensesBoardHomeCommuters&lt;&gt;"",ExpensesBoardHomeCommuters,-1)</f>
        <v>3284</v>
      </c>
      <c r="F555"/>
      <c r="G555" s="311" t="s">
        <v>1036</v>
      </c>
      <c r="H555" t="s">
        <v>1696</v>
      </c>
      <c r="K555" t="str">
        <f t="shared" si="18"/>
        <v>&lt;ExpensesBoardHomeCommuters Question="G5"&gt;3284&lt;/ExpensesBoardHomeCommuters&gt;</v>
      </c>
    </row>
    <row r="556" spans="4:11" ht="12.75">
      <c r="D556" t="s">
        <v>1037</v>
      </c>
      <c r="E556" s="269">
        <f>IF(ExpensesBoardNonHomeCommuters&lt;&gt;"",ExpensesBoardNonHomeCommuters,-1)</f>
        <v>3284</v>
      </c>
      <c r="F556"/>
      <c r="G556" s="311" t="s">
        <v>1037</v>
      </c>
      <c r="H556" t="s">
        <v>1696</v>
      </c>
      <c r="K556" t="str">
        <f t="shared" si="18"/>
        <v>&lt;ExpensesBoardNonHomeCommuters Question="G5"&gt;3284&lt;/ExpensesBoardNonHomeCommuters&gt;</v>
      </c>
    </row>
    <row r="557" spans="4:11" ht="12.75">
      <c r="D557" t="s">
        <v>1891</v>
      </c>
      <c r="E557" s="269">
        <f>IF(ExpensesRoomAndBoardNonHomeCommuters&lt;&gt;"",ExpensesRoomAndBoardNonHomeCommuters,-1)</f>
        <v>-1</v>
      </c>
      <c r="F557"/>
      <c r="G557" s="311" t="s">
        <v>1891</v>
      </c>
      <c r="H557" t="s">
        <v>1696</v>
      </c>
      <c r="K557" t="str">
        <f>"&lt;"&amp;G557&amp;" Question="""&amp;H557&amp;"""&gt;"&amp;IF(J557=1,"&lt;![CDATA[","")&amp;E557&amp;IF(J557=1,"]]&gt;","")&amp;"&lt;/"&amp;G557&amp;"&gt;"</f>
        <v>&lt;ExpensesRoomAndBoardNonHomeCommuters Question="G5"&gt;-1&lt;/ExpensesRoomAndBoardNonHomeCommuters&gt;</v>
      </c>
    </row>
    <row r="558" spans="4:11" ht="12.75">
      <c r="D558" t="s">
        <v>1038</v>
      </c>
      <c r="E558" s="269">
        <f>IF(ExpensesTransportationResidents&lt;&gt;"",ExpensesTransportationResidents,-1)</f>
        <v>500</v>
      </c>
      <c r="F558"/>
      <c r="G558" s="311" t="s">
        <v>1038</v>
      </c>
      <c r="H558" t="s">
        <v>1696</v>
      </c>
      <c r="K558" t="str">
        <f t="shared" si="18"/>
        <v>&lt;ExpensesTransportationResidents Question="G5"&gt;500&lt;/ExpensesTransportationResidents&gt;</v>
      </c>
    </row>
    <row r="559" spans="4:11" ht="12.75">
      <c r="D559" t="s">
        <v>1039</v>
      </c>
      <c r="E559" s="269">
        <f>IF(ExpensesTransportationHomeCommuters&lt;&gt;"",ExpensesTransportationHomeCommuters,-1)</f>
        <v>1000</v>
      </c>
      <c r="F559"/>
      <c r="G559" s="311" t="s">
        <v>1039</v>
      </c>
      <c r="H559" t="s">
        <v>1696</v>
      </c>
      <c r="K559" t="str">
        <f t="shared" si="18"/>
        <v>&lt;ExpensesTransportationHomeCommuters Question="G5"&gt;1000&lt;/ExpensesTransportationHomeCommuters&gt;</v>
      </c>
    </row>
    <row r="560" spans="4:11" ht="12.75">
      <c r="D560" t="s">
        <v>1040</v>
      </c>
      <c r="E560" s="269">
        <f>IF(ExpensesTransportationNonHomeCommuters&lt;&gt;"",ExpensesTransportationNonHomeCommuters,-1)</f>
        <v>500</v>
      </c>
      <c r="F560"/>
      <c r="G560" s="311" t="s">
        <v>1040</v>
      </c>
      <c r="H560" t="s">
        <v>1696</v>
      </c>
      <c r="K560" t="str">
        <f t="shared" si="18"/>
        <v>&lt;ExpensesTransportationNonHomeCommuters Question="G5"&gt;500&lt;/ExpensesTransportationNonHomeCommuters&gt;</v>
      </c>
    </row>
    <row r="561" spans="4:11" ht="12.75">
      <c r="D561" t="s">
        <v>1041</v>
      </c>
      <c r="E561" s="269">
        <f>IF(ExpensesOtherResidents&lt;&gt;"",ExpensesOtherResidents,-1)</f>
        <v>1150</v>
      </c>
      <c r="F561"/>
      <c r="G561" s="311" t="s">
        <v>1041</v>
      </c>
      <c r="H561" t="s">
        <v>1696</v>
      </c>
      <c r="K561" t="str">
        <f t="shared" si="18"/>
        <v>&lt;ExpensesOtherResidents Question="G5"&gt;1150&lt;/ExpensesOtherResidents&gt;</v>
      </c>
    </row>
    <row r="562" spans="4:11" ht="12.75">
      <c r="D562" t="s">
        <v>806</v>
      </c>
      <c r="E562" s="269">
        <f>IF(ExpensesOtherHomeCommuters&lt;&gt;"",ExpensesOtherHomeCommuters,-1)</f>
        <v>1150</v>
      </c>
      <c r="F562"/>
      <c r="G562" s="311" t="s">
        <v>806</v>
      </c>
      <c r="H562" t="s">
        <v>1696</v>
      </c>
      <c r="K562" t="str">
        <f t="shared" si="18"/>
        <v>&lt;ExpensesOtherHomeCommuters Question="G5"&gt;1150&lt;/ExpensesOtherHomeCommuters&gt;</v>
      </c>
    </row>
    <row r="563" spans="4:11" ht="12.75">
      <c r="D563" t="s">
        <v>807</v>
      </c>
      <c r="E563" s="269">
        <f>IF(ExpensesOtherNonHomeCommuters&lt;&gt;"",ExpensesOtherNonHomeCommuters,-1)</f>
        <v>1150</v>
      </c>
      <c r="F563"/>
      <c r="G563" s="311" t="s">
        <v>807</v>
      </c>
      <c r="H563" t="s">
        <v>1696</v>
      </c>
      <c r="K563" t="str">
        <f t="shared" si="18"/>
        <v>&lt;ExpensesOtherNonHomeCommuters Question="G5"&gt;1150&lt;/ExpensesOtherNonHomeCommuters&gt;</v>
      </c>
    </row>
    <row r="564" spans="4:11" ht="12.75">
      <c r="D564" t="s">
        <v>808</v>
      </c>
      <c r="E564" s="254">
        <f>IF(TuitionPerCreditPrivate&lt;&gt;"",TuitionPerCreditPrivate,-1)</f>
        <v>-1</v>
      </c>
      <c r="F564"/>
      <c r="G564" s="307" t="s">
        <v>808</v>
      </c>
      <c r="H564" t="s">
        <v>458</v>
      </c>
      <c r="K564" t="str">
        <f t="shared" si="18"/>
        <v>&lt;TuitionPerCreditPrivate Question="G6"&gt;-1&lt;/TuitionPerCreditPrivate&gt;</v>
      </c>
    </row>
    <row r="565" spans="4:11" ht="12.75">
      <c r="D565" t="s">
        <v>809</v>
      </c>
      <c r="E565" s="254">
        <f>IF(TuitionPerCreditPublicInDistrict&lt;&gt;"",TuitionPerCreditPublicInDistrict,-1)</f>
        <v>225</v>
      </c>
      <c r="F565"/>
      <c r="G565" s="307" t="s">
        <v>809</v>
      </c>
      <c r="H565" t="s">
        <v>458</v>
      </c>
      <c r="K565" t="str">
        <f t="shared" si="18"/>
        <v>&lt;TuitionPerCreditPublicInDistrict Question="G6"&gt;225&lt;/TuitionPerCreditPublicInDistrict&gt;</v>
      </c>
    </row>
    <row r="566" spans="4:11" ht="12.75">
      <c r="D566" t="s">
        <v>810</v>
      </c>
      <c r="E566" s="254">
        <f>IF(TuitionPerCreditPublicInState&lt;&gt;"",TuitionPerCreditPublicInState,-1)</f>
        <v>225</v>
      </c>
      <c r="F566"/>
      <c r="G566" s="307" t="s">
        <v>810</v>
      </c>
      <c r="H566" t="s">
        <v>458</v>
      </c>
      <c r="K566" t="str">
        <f t="shared" si="18"/>
        <v>&lt;TuitionPerCreditPublicInState Question="G6"&gt;225&lt;/TuitionPerCreditPublicInState&gt;</v>
      </c>
    </row>
    <row r="567" spans="4:11" ht="12.75">
      <c r="D567" t="s">
        <v>811</v>
      </c>
      <c r="E567" s="254">
        <f>IF(TuitionPerCreditPublicOutOfState&lt;&gt;"",TuitionPerCreditPublicOutOfState,-1)</f>
        <v>840</v>
      </c>
      <c r="F567"/>
      <c r="G567" s="307" t="s">
        <v>811</v>
      </c>
      <c r="H567" t="s">
        <v>458</v>
      </c>
      <c r="K567" t="str">
        <f t="shared" si="18"/>
        <v>&lt;TuitionPerCreditPublicOutOfState Question="G6"&gt;840&lt;/TuitionPerCreditPublicOutOfState&gt;</v>
      </c>
    </row>
    <row r="568" spans="4:11" ht="12.75">
      <c r="D568" t="s">
        <v>812</v>
      </c>
      <c r="E568" s="254">
        <f>IF(TuitionPerCreditInternational&lt;&gt;"",TuitionPerCreditInternational,-1)</f>
        <v>-1</v>
      </c>
      <c r="F568"/>
      <c r="G568" s="307" t="s">
        <v>812</v>
      </c>
      <c r="H568" t="s">
        <v>458</v>
      </c>
      <c r="K568" t="str">
        <f t="shared" si="18"/>
        <v>&lt;TuitionPerCreditInternational Question="G6"&gt;-1&lt;/TuitionPerCreditInternational&gt;</v>
      </c>
    </row>
    <row r="569" spans="5:11" ht="12.75">
      <c r="E569" s="255"/>
      <c r="F569"/>
      <c r="G569" s="308"/>
      <c r="K569" t="s">
        <v>621</v>
      </c>
    </row>
    <row r="570" spans="2:11" ht="12.75">
      <c r="B570" t="s">
        <v>813</v>
      </c>
      <c r="F570"/>
      <c r="K570" t="s">
        <v>324</v>
      </c>
    </row>
    <row r="571" spans="4:11" ht="12.75">
      <c r="D571" t="s">
        <v>814</v>
      </c>
      <c r="E571" s="254">
        <f>IF(YearOfAid1&lt;&gt;"",BaseYear,IF(YearOfAid2&lt;&gt;"",BaseYear-1,-1))</f>
        <v>2007</v>
      </c>
      <c r="F571" t="str">
        <f>"=IF("&amp;D571&amp;"1&lt;&gt;"""",BaseYear,IF("&amp;D571&amp;"2&lt;&gt;"""",BaseYear-1,-1))"</f>
        <v>=IF(YearOfAid1&lt;&gt;"",BaseYear,IF(YearOfAid2&lt;&gt;"",BaseYear-1,-1))</v>
      </c>
      <c r="G571" s="307" t="s">
        <v>326</v>
      </c>
      <c r="H571" t="s">
        <v>115</v>
      </c>
      <c r="K571" t="str">
        <f aca="true" t="shared" si="19" ref="K571:K602">"&lt;"&amp;G571&amp;" Question="""&amp;H571&amp;"""&gt;"&amp;IF(J571=1,"&lt;![CDATA[","")&amp;E571&amp;IF(J571=1,"]]&gt;","")&amp;"&lt;/"&amp;G571&amp;"&gt;"</f>
        <v>&lt;AidDataYear Question="H1"&gt;2007&lt;/AidDataYear&gt;</v>
      </c>
    </row>
    <row r="572" spans="4:11" ht="12.75">
      <c r="D572" t="s">
        <v>815</v>
      </c>
      <c r="E572" s="254">
        <f>IF(NeedsAnalysisMethodology1&lt;&gt;"",1,IF(NeedsAnalysisMethodology2&lt;&gt;"",2,IF(NeedsAnalysisMethodology3&lt;&gt;"",3,-1)))</f>
        <v>1</v>
      </c>
      <c r="F572" t="str">
        <f>"=IF("&amp;D572&amp;"1&lt;&gt;"""",1,IF("&amp;D572&amp;"2&lt;&gt;"""",2,IF("&amp;D572&amp;"3&lt;&gt;"""",3,-1)))"</f>
        <v>=IF(NeedsAnalysisMethodology1&lt;&gt;"",1,IF(NeedsAnalysisMethodology2&lt;&gt;"",2,IF(NeedsAnalysisMethodology3&lt;&gt;"",3,-1)))</v>
      </c>
      <c r="G572" s="307" t="s">
        <v>815</v>
      </c>
      <c r="H572" t="s">
        <v>117</v>
      </c>
      <c r="K572" t="str">
        <f t="shared" si="19"/>
        <v>&lt;NeedsAnalysisMethodology Question="H3"&gt;1&lt;/NeedsAnalysisMethodology&gt;</v>
      </c>
    </row>
    <row r="573" spans="4:11" ht="12.75">
      <c r="D573" t="s">
        <v>816</v>
      </c>
      <c r="E573" s="269">
        <f>IF(GrantsFederalNeed&lt;&gt;"",GrantsFederalNeed,-1)</f>
        <v>1554751</v>
      </c>
      <c r="F573" t="str">
        <f>"=IF("&amp;D573&amp;"&lt;&gt;"""","&amp;D573&amp;",-1)"</f>
        <v>=IF(GrantsFederalNeed&lt;&gt;"",GrantsFederalNeed,-1)</v>
      </c>
      <c r="G573" s="311" t="s">
        <v>816</v>
      </c>
      <c r="H573" t="s">
        <v>115</v>
      </c>
      <c r="K573" t="str">
        <f t="shared" si="19"/>
        <v>&lt;GrantsFederalNeed Question="H1"&gt;1554751&lt;/GrantsFederalNeed&gt;</v>
      </c>
    </row>
    <row r="574" spans="4:11" ht="12.75">
      <c r="D574" t="s">
        <v>817</v>
      </c>
      <c r="E574" s="269">
        <f>IF(GrantsFederalNonNeed&lt;&gt;"",GrantsFederalNonNeed,-1)</f>
        <v>421750</v>
      </c>
      <c r="F574"/>
      <c r="G574" s="311" t="s">
        <v>817</v>
      </c>
      <c r="H574" t="s">
        <v>115</v>
      </c>
      <c r="K574" t="str">
        <f t="shared" si="19"/>
        <v>&lt;GrantsFederalNonNeed Question="H1"&gt;421750&lt;/GrantsFederalNonNeed&gt;</v>
      </c>
    </row>
    <row r="575" spans="4:11" ht="12.75">
      <c r="D575" t="s">
        <v>818</v>
      </c>
      <c r="E575" s="269">
        <f>IF(GrantsStateNeed&lt;&gt;"",GrantsStateNeed,-1)</f>
        <v>2917347</v>
      </c>
      <c r="F575"/>
      <c r="G575" s="311" t="s">
        <v>818</v>
      </c>
      <c r="H575" t="s">
        <v>115</v>
      </c>
      <c r="K575" t="str">
        <f t="shared" si="19"/>
        <v>&lt;GrantsStateNeed Question="H1"&gt;2917347&lt;/GrantsStateNeed&gt;</v>
      </c>
    </row>
    <row r="576" spans="4:11" ht="12.75">
      <c r="D576" t="s">
        <v>819</v>
      </c>
      <c r="E576" s="269">
        <f>IF(GrantsStateNonNeed&lt;&gt;"",GrantsStateNonNeed,-1)</f>
        <v>0</v>
      </c>
      <c r="F576"/>
      <c r="G576" s="311" t="s">
        <v>819</v>
      </c>
      <c r="H576" t="s">
        <v>115</v>
      </c>
      <c r="K576" t="str">
        <f t="shared" si="19"/>
        <v>&lt;GrantsStateNonNeed Question="H1"&gt;0&lt;/GrantsStateNonNeed&gt;</v>
      </c>
    </row>
    <row r="577" spans="4:11" ht="12.75">
      <c r="D577" t="s">
        <v>820</v>
      </c>
      <c r="E577" s="269">
        <f>IF(GrantsInstitutionalNeed&lt;&gt;"",GrantsInstitutionalNeed,-1)</f>
        <v>8013003</v>
      </c>
      <c r="F577"/>
      <c r="G577" s="311" t="s">
        <v>820</v>
      </c>
      <c r="H577" t="s">
        <v>115</v>
      </c>
      <c r="K577" t="str">
        <f t="shared" si="19"/>
        <v>&lt;GrantsInstitutionalNeed Question="H1"&gt;8013003&lt;/GrantsInstitutionalNeed&gt;</v>
      </c>
    </row>
    <row r="578" spans="4:11" ht="12.75">
      <c r="D578" t="s">
        <v>821</v>
      </c>
      <c r="E578" s="269">
        <f>IF(GrantsInstitutionalNonNeed&lt;&gt;"",GrantsInstitutionalNonNeed,-1)</f>
        <v>2379345</v>
      </c>
      <c r="F578"/>
      <c r="G578" s="311" t="s">
        <v>821</v>
      </c>
      <c r="H578" t="s">
        <v>115</v>
      </c>
      <c r="K578" t="str">
        <f t="shared" si="19"/>
        <v>&lt;GrantsInstitutionalNonNeed Question="H1"&gt;2379345&lt;/GrantsInstitutionalNonNeed&gt;</v>
      </c>
    </row>
    <row r="579" spans="4:11" ht="12.75">
      <c r="D579" t="s">
        <v>822</v>
      </c>
      <c r="E579" s="269">
        <f>IF(GrantsExternalNeed&lt;&gt;"",GrantsExternalNeed,-1)</f>
        <v>0</v>
      </c>
      <c r="F579"/>
      <c r="G579" s="311" t="s">
        <v>822</v>
      </c>
      <c r="H579" t="s">
        <v>115</v>
      </c>
      <c r="K579" t="str">
        <f t="shared" si="19"/>
        <v>&lt;GrantsExternalNeed Question="H1"&gt;0&lt;/GrantsExternalNeed&gt;</v>
      </c>
    </row>
    <row r="580" spans="4:11" ht="12.75">
      <c r="D580" t="s">
        <v>823</v>
      </c>
      <c r="E580" s="269">
        <f>IF(GrantsExternalNonNeed&lt;&gt;"",GrantsExternalNonNeed,-1)</f>
        <v>2408149</v>
      </c>
      <c r="F580"/>
      <c r="G580" s="311" t="s">
        <v>823</v>
      </c>
      <c r="H580" t="s">
        <v>115</v>
      </c>
      <c r="K580" t="str">
        <f t="shared" si="19"/>
        <v>&lt;GrantsExternalNonNeed Question="H1"&gt;2408149&lt;/GrantsExternalNonNeed&gt;</v>
      </c>
    </row>
    <row r="581" spans="4:11" ht="12.75">
      <c r="D581" t="s">
        <v>824</v>
      </c>
      <c r="E581" s="269">
        <f>IF(GrantsTotalNeed&lt;&gt;"",GrantsTotalNeed,-1)</f>
        <v>12485101</v>
      </c>
      <c r="F581"/>
      <c r="G581" s="311" t="s">
        <v>824</v>
      </c>
      <c r="H581" t="s">
        <v>115</v>
      </c>
      <c r="K581" t="str">
        <f t="shared" si="19"/>
        <v>&lt;GrantsTotalNeed Question="H1"&gt;12485101&lt;/GrantsTotalNeed&gt;</v>
      </c>
    </row>
    <row r="582" spans="4:11" ht="12.75">
      <c r="D582" t="s">
        <v>825</v>
      </c>
      <c r="E582" s="269">
        <f>IF(GrantsTotalNonNeed&lt;&gt;"",GrantsTotalNonNeed,-1)</f>
        <v>5209244</v>
      </c>
      <c r="F582"/>
      <c r="G582" s="311" t="s">
        <v>825</v>
      </c>
      <c r="H582" t="s">
        <v>115</v>
      </c>
      <c r="K582" t="str">
        <f t="shared" si="19"/>
        <v>&lt;GrantsTotalNonNeed Question="H1"&gt;5209244&lt;/GrantsTotalNonNeed&gt;</v>
      </c>
    </row>
    <row r="583" spans="4:11" ht="12.75">
      <c r="D583" t="s">
        <v>826</v>
      </c>
      <c r="E583" s="269">
        <f>IF(SelfHelpStudentLoansNeed&lt;&gt;"",SelfHelpStudentLoansNeed,-1)</f>
        <v>3906051</v>
      </c>
      <c r="F583"/>
      <c r="G583" s="311" t="s">
        <v>826</v>
      </c>
      <c r="H583" t="s">
        <v>115</v>
      </c>
      <c r="K583" t="str">
        <f t="shared" si="19"/>
        <v>&lt;SelfHelpStudentLoansNeed Question="H1"&gt;3906051&lt;/SelfHelpStudentLoansNeed&gt;</v>
      </c>
    </row>
    <row r="584" spans="4:11" ht="12.75">
      <c r="D584" t="s">
        <v>827</v>
      </c>
      <c r="E584" s="269">
        <f>IF(SelfHelpStudentLoansNonNeed&lt;&gt;"",SelfHelpStudentLoansNonNeed,-1)</f>
        <v>5936196</v>
      </c>
      <c r="F584"/>
      <c r="G584" s="311" t="s">
        <v>827</v>
      </c>
      <c r="H584" t="s">
        <v>115</v>
      </c>
      <c r="K584" t="str">
        <f t="shared" si="19"/>
        <v>&lt;SelfHelpStudentLoansNonNeed Question="H1"&gt;5936196&lt;/SelfHelpStudentLoansNonNeed&gt;</v>
      </c>
    </row>
    <row r="585" spans="4:11" ht="12.75">
      <c r="D585" t="s">
        <v>828</v>
      </c>
      <c r="E585" s="269">
        <f>IF(SelfHelpFederalWorkStudy&lt;&gt;"",SelfHelpFederalWorkStudy,-1)</f>
        <v>176434</v>
      </c>
      <c r="F585"/>
      <c r="G585" s="311" t="s">
        <v>828</v>
      </c>
      <c r="H585" t="s">
        <v>115</v>
      </c>
      <c r="K585" t="str">
        <f t="shared" si="19"/>
        <v>&lt;SelfHelpFederalWorkStudy Question="H1"&gt;176434&lt;/SelfHelpFederalWorkStudy&gt;</v>
      </c>
    </row>
    <row r="586" spans="4:11" ht="12.75">
      <c r="D586" t="s">
        <v>829</v>
      </c>
      <c r="E586" s="269">
        <f>IF(SelfHelpOtherWorkStudyNeed&lt;&gt;"",SelfHelpOtherWorkStudyNeed,-1)</f>
        <v>0</v>
      </c>
      <c r="F586"/>
      <c r="G586" s="311" t="s">
        <v>829</v>
      </c>
      <c r="H586" t="s">
        <v>115</v>
      </c>
      <c r="K586" t="str">
        <f t="shared" si="19"/>
        <v>&lt;SelfHelpOtherWorkStudyNeed Question="H1"&gt;0&lt;/SelfHelpOtherWorkStudyNeed&gt;</v>
      </c>
    </row>
    <row r="587" spans="4:11" ht="12.75">
      <c r="D587" t="s">
        <v>830</v>
      </c>
      <c r="E587" s="269">
        <f>IF(SelfHelpOtherWorkStudyNonNeed&lt;&gt;"",SelfHelpOtherWorkStudyNonNeed,-1)</f>
        <v>0</v>
      </c>
      <c r="F587"/>
      <c r="G587" s="311" t="s">
        <v>830</v>
      </c>
      <c r="H587" t="s">
        <v>115</v>
      </c>
      <c r="K587" t="str">
        <f t="shared" si="19"/>
        <v>&lt;SelfHelpOtherWorkStudyNonNeed Question="H1"&gt;0&lt;/SelfHelpOtherWorkStudyNonNeed&gt;</v>
      </c>
    </row>
    <row r="588" spans="4:11" ht="12.75">
      <c r="D588" t="s">
        <v>831</v>
      </c>
      <c r="E588" s="269">
        <f>IF(SelfHelpTotalNeed&lt;&gt;"",SelfHelpTotalNeed,-1)</f>
        <v>4082485</v>
      </c>
      <c r="F588"/>
      <c r="G588" s="311" t="s">
        <v>831</v>
      </c>
      <c r="H588" t="s">
        <v>115</v>
      </c>
      <c r="K588" t="str">
        <f t="shared" si="19"/>
        <v>&lt;SelfHelpTotalNeed Question="H1"&gt;4082485&lt;/SelfHelpTotalNeed&gt;</v>
      </c>
    </row>
    <row r="589" spans="4:11" ht="12.75">
      <c r="D589" t="s">
        <v>832</v>
      </c>
      <c r="E589" s="269">
        <f>IF(SelfHelpTotalNonNeed&lt;&gt;"",SelfHelpTotalNonNeed,-1)</f>
        <v>5936196</v>
      </c>
      <c r="F589"/>
      <c r="G589" s="311" t="s">
        <v>832</v>
      </c>
      <c r="H589" t="s">
        <v>115</v>
      </c>
      <c r="K589" t="str">
        <f t="shared" si="19"/>
        <v>&lt;SelfHelpTotalNonNeed Question="H1"&gt;5936196&lt;/SelfHelpTotalNonNeed&gt;</v>
      </c>
    </row>
    <row r="590" spans="4:11" ht="12.75">
      <c r="D590" t="s">
        <v>833</v>
      </c>
      <c r="E590" s="269">
        <f>IF(OtherFinancialAidParentLoansNeed&lt;&gt;"",OtherFinancialAidParentLoansNeed,-1)</f>
        <v>0</v>
      </c>
      <c r="F590"/>
      <c r="G590" s="311" t="s">
        <v>833</v>
      </c>
      <c r="H590" t="s">
        <v>115</v>
      </c>
      <c r="K590" t="str">
        <f t="shared" si="19"/>
        <v>&lt;OtherFinancialAidParentLoansNeed Question="H1"&gt;0&lt;/OtherFinancialAidParentLoansNeed&gt;</v>
      </c>
    </row>
    <row r="591" spans="4:11" ht="12.75">
      <c r="D591" t="s">
        <v>834</v>
      </c>
      <c r="E591" s="269">
        <f>IF(OtherFinancialAidParentLoansNonNeed&lt;&gt;"",OtherFinancialAidParentLoansNonNeed,-1)</f>
        <v>5624150</v>
      </c>
      <c r="F591"/>
      <c r="G591" s="311" t="s">
        <v>834</v>
      </c>
      <c r="H591" t="s">
        <v>115</v>
      </c>
      <c r="K591" t="str">
        <f t="shared" si="19"/>
        <v>&lt;OtherFinancialAidParentLoansNonNeed Question="H1"&gt;5624150&lt;/OtherFinancialAidParentLoansNonNeed&gt;</v>
      </c>
    </row>
    <row r="592" spans="4:11" ht="12.75">
      <c r="D592" t="s">
        <v>835</v>
      </c>
      <c r="E592" s="269">
        <f>IF(OtherFinancialAidTuitionWaversNeed&lt;&gt;"",OtherFinancialAidTuitionWaversNeed,-1)</f>
        <v>440605</v>
      </c>
      <c r="F592"/>
      <c r="G592" s="311" t="s">
        <v>835</v>
      </c>
      <c r="H592" t="s">
        <v>115</v>
      </c>
      <c r="K592" t="str">
        <f t="shared" si="19"/>
        <v>&lt;OtherFinancialAidTuitionWaversNeed Question="H1"&gt;440605&lt;/OtherFinancialAidTuitionWaversNeed&gt;</v>
      </c>
    </row>
    <row r="593" spans="4:11" ht="12.75">
      <c r="D593" t="s">
        <v>836</v>
      </c>
      <c r="E593" s="269">
        <f>IF(OtherFinancialAidTuitionWaversNonNeed&lt;&gt;"",OtherFinancialAidTuitionWaversNonNeed,-1)</f>
        <v>0</v>
      </c>
      <c r="F593"/>
      <c r="G593" s="311" t="s">
        <v>836</v>
      </c>
      <c r="H593" t="s">
        <v>115</v>
      </c>
      <c r="K593" t="str">
        <f t="shared" si="19"/>
        <v>&lt;OtherFinancialAidTuitionWaversNonNeed Question="H1"&gt;0&lt;/OtherFinancialAidTuitionWaversNonNeed&gt;</v>
      </c>
    </row>
    <row r="594" spans="4:11" ht="12.75">
      <c r="D594" t="s">
        <v>837</v>
      </c>
      <c r="E594" s="269">
        <f>IF(OtherFinancialAidAthleticNeed&lt;&gt;"",OtherFinancialAidAthleticNeed,-1)</f>
        <v>0</v>
      </c>
      <c r="F594"/>
      <c r="G594" s="311" t="s">
        <v>837</v>
      </c>
      <c r="H594" t="s">
        <v>115</v>
      </c>
      <c r="K594" t="str">
        <f t="shared" si="19"/>
        <v>&lt;OtherFinancialAidAthleticNeed Question="H1"&gt;0&lt;/OtherFinancialAidAthleticNeed&gt;</v>
      </c>
    </row>
    <row r="595" spans="4:11" ht="12.75">
      <c r="D595" t="s">
        <v>838</v>
      </c>
      <c r="E595" s="269">
        <f>IF(OtherFinancialAidAthleticNonNeed&lt;&gt;"",OtherFinancialAidAthleticNonNeed,-1)</f>
        <v>5030605</v>
      </c>
      <c r="F595"/>
      <c r="G595" s="311" t="s">
        <v>838</v>
      </c>
      <c r="H595" t="s">
        <v>115</v>
      </c>
      <c r="K595" t="str">
        <f t="shared" si="19"/>
        <v>&lt;OtherFinancialAidAthleticNonNeed Question="H1"&gt;5030605&lt;/OtherFinancialAidAthleticNonNeed&gt;</v>
      </c>
    </row>
    <row r="596" spans="4:11" ht="12.75">
      <c r="D596" t="s">
        <v>840</v>
      </c>
      <c r="E596" s="269">
        <f>IF(FreshmanFullTime&lt;&gt;"",FreshmanFullTime,-1)</f>
        <v>1345</v>
      </c>
      <c r="F596"/>
      <c r="G596" s="311" t="s">
        <v>840</v>
      </c>
      <c r="H596" t="s">
        <v>116</v>
      </c>
      <c r="K596" t="str">
        <f t="shared" si="19"/>
        <v>&lt;FreshmanFullTime Question="H2"&gt;1345&lt;/FreshmanFullTime&gt;</v>
      </c>
    </row>
    <row r="597" spans="4:11" ht="12.75">
      <c r="D597" t="s">
        <v>839</v>
      </c>
      <c r="E597" s="269">
        <f>IF(UndergradFullTime&lt;&gt;"",UndergradFullTime,-1)</f>
        <v>5671</v>
      </c>
      <c r="F597"/>
      <c r="G597" s="311" t="s">
        <v>839</v>
      </c>
      <c r="H597" t="s">
        <v>116</v>
      </c>
      <c r="K597" t="str">
        <f t="shared" si="19"/>
        <v>&lt;UndergradFullTime Question="H2"&gt;5671&lt;/UndergradFullTime&gt;</v>
      </c>
    </row>
    <row r="598" spans="4:11" ht="12.75">
      <c r="D598" t="s">
        <v>841</v>
      </c>
      <c r="E598" s="269">
        <f>IF(UndergradPartTime&lt;&gt;"",UndergradPartTime,-1)</f>
        <v>-1</v>
      </c>
      <c r="F598"/>
      <c r="G598" s="311" t="s">
        <v>841</v>
      </c>
      <c r="H598" t="s">
        <v>116</v>
      </c>
      <c r="K598" t="str">
        <f t="shared" si="19"/>
        <v>&lt;UndergradPartTime Question="H2"&gt;-1&lt;/UndergradPartTime&gt;</v>
      </c>
    </row>
    <row r="599" spans="4:11" ht="12.75">
      <c r="D599" t="s">
        <v>844</v>
      </c>
      <c r="E599" s="269">
        <f>IF(FreshmanFullTimeAppliedForNeedBasedAid&lt;&gt;"",FreshmanFullTimeAppliedForNeedBasedAid,-1)</f>
        <v>883</v>
      </c>
      <c r="F599"/>
      <c r="G599" s="311" t="s">
        <v>844</v>
      </c>
      <c r="H599" t="s">
        <v>116</v>
      </c>
      <c r="K599" t="str">
        <f t="shared" si="19"/>
        <v>&lt;FreshmanFullTimeAppliedForNeedBasedAid Question="H2"&gt;883&lt;/FreshmanFullTimeAppliedForNeedBasedAid&gt;</v>
      </c>
    </row>
    <row r="600" spans="4:11" ht="12.75">
      <c r="D600" t="s">
        <v>843</v>
      </c>
      <c r="E600" s="269">
        <f>IF(UndergradFullTimeAppliedForNeedBasedAid&lt;&gt;"",UndergradFullTimeAppliedForNeedBasedAid,-1)</f>
        <v>2670</v>
      </c>
      <c r="F600"/>
      <c r="G600" s="311" t="s">
        <v>843</v>
      </c>
      <c r="H600" t="s">
        <v>116</v>
      </c>
      <c r="K600" t="str">
        <f t="shared" si="19"/>
        <v>&lt;UndergradFullTimeAppliedForNeedBasedAid Question="H2"&gt;2670&lt;/UndergradFullTimeAppliedForNeedBasedAid&gt;</v>
      </c>
    </row>
    <row r="601" spans="4:11" ht="12.75">
      <c r="D601" t="s">
        <v>842</v>
      </c>
      <c r="E601" s="269">
        <f>IF(UndergradPartTimeAppliedForNeedBasedAid&lt;&gt;"",UndergradPartTimeAppliedForNeedBasedAid,-1)</f>
        <v>-1</v>
      </c>
      <c r="F601"/>
      <c r="G601" s="311" t="s">
        <v>842</v>
      </c>
      <c r="H601" t="s">
        <v>116</v>
      </c>
      <c r="K601" t="str">
        <f t="shared" si="19"/>
        <v>&lt;UndergradPartTimeAppliedForNeedBasedAid Question="H2"&gt;-1&lt;/UndergradPartTimeAppliedForNeedBasedAid&gt;</v>
      </c>
    </row>
    <row r="602" spans="4:11" ht="12.75">
      <c r="D602" t="s">
        <v>845</v>
      </c>
      <c r="E602" s="269">
        <f>IF(FreshmanFullTimeWithNeed&lt;&gt;"",FreshmanFullTimeWithNeed,-1)</f>
        <v>397</v>
      </c>
      <c r="F602"/>
      <c r="G602" s="311" t="s">
        <v>845</v>
      </c>
      <c r="H602" t="s">
        <v>116</v>
      </c>
      <c r="K602" t="str">
        <f t="shared" si="19"/>
        <v>&lt;FreshmanFullTimeWithNeed Question="H2"&gt;397&lt;/FreshmanFullTimeWithNeed&gt;</v>
      </c>
    </row>
    <row r="603" spans="4:11" ht="12.75">
      <c r="D603" t="s">
        <v>846</v>
      </c>
      <c r="E603" s="269">
        <f>IF(UndergradFullTimeWithNeed&lt;&gt;"",UndergradFullTimeWithNeed,-1)</f>
        <v>1588</v>
      </c>
      <c r="F603"/>
      <c r="G603" s="311" t="s">
        <v>846</v>
      </c>
      <c r="H603" t="s">
        <v>116</v>
      </c>
      <c r="K603" t="str">
        <f aca="true" t="shared" si="20" ref="K603:K634">"&lt;"&amp;G603&amp;" Question="""&amp;H603&amp;"""&gt;"&amp;IF(J603=1,"&lt;![CDATA[","")&amp;E603&amp;IF(J603=1,"]]&gt;","")&amp;"&lt;/"&amp;G603&amp;"&gt;"</f>
        <v>&lt;UndergradFullTimeWithNeed Question="H2"&gt;1588&lt;/UndergradFullTimeWithNeed&gt;</v>
      </c>
    </row>
    <row r="604" spans="4:11" ht="12.75">
      <c r="D604" t="s">
        <v>847</v>
      </c>
      <c r="E604" s="269">
        <f>IF(UndergradPartTimeWithNeed&lt;&gt;"",UndergradPartTimeWithNeed,-1)</f>
        <v>-1</v>
      </c>
      <c r="F604"/>
      <c r="G604" s="311" t="s">
        <v>847</v>
      </c>
      <c r="H604" t="s">
        <v>116</v>
      </c>
      <c r="K604" t="str">
        <f t="shared" si="20"/>
        <v>&lt;UndergradPartTimeWithNeed Question="H2"&gt;-1&lt;/UndergradPartTimeWithNeed&gt;</v>
      </c>
    </row>
    <row r="605" spans="4:11" ht="12.75">
      <c r="D605" t="s">
        <v>848</v>
      </c>
      <c r="E605" s="269">
        <f>IF(FreshmanFullTimeAwardedAnyFinancialAid&lt;&gt;"",FreshmanFullTimeAwardedAnyFinancialAid,-1)</f>
        <v>397</v>
      </c>
      <c r="F605"/>
      <c r="G605" s="311" t="s">
        <v>848</v>
      </c>
      <c r="H605" t="s">
        <v>116</v>
      </c>
      <c r="K605" t="str">
        <f t="shared" si="20"/>
        <v>&lt;FreshmanFullTimeAwardedAnyFinancialAid Question="H2"&gt;397&lt;/FreshmanFullTimeAwardedAnyFinancialAid&gt;</v>
      </c>
    </row>
    <row r="606" spans="4:11" ht="12.75">
      <c r="D606" t="s">
        <v>849</v>
      </c>
      <c r="E606" s="269">
        <f>IF(UndergradFullTimeAwardedAnyFinancialAid&lt;&gt;"",UndergradFullTimeAwardedAnyFinancialAid,-1)</f>
        <v>1588</v>
      </c>
      <c r="F606"/>
      <c r="G606" s="311" t="s">
        <v>849</v>
      </c>
      <c r="H606" t="s">
        <v>116</v>
      </c>
      <c r="K606" t="str">
        <f t="shared" si="20"/>
        <v>&lt;UndergradFullTimeAwardedAnyFinancialAid Question="H2"&gt;1588&lt;/UndergradFullTimeAwardedAnyFinancialAid&gt;</v>
      </c>
    </row>
    <row r="607" spans="4:11" ht="12.75">
      <c r="D607" t="s">
        <v>850</v>
      </c>
      <c r="E607" s="269">
        <f>IF(UndergradPartTimeAwardedAnyFinancialAid&lt;&gt;"",UndergradPartTimeAwardedAnyFinancialAid,-1)</f>
        <v>-1</v>
      </c>
      <c r="F607"/>
      <c r="G607" s="311" t="s">
        <v>850</v>
      </c>
      <c r="H607" t="s">
        <v>116</v>
      </c>
      <c r="K607" t="str">
        <f t="shared" si="20"/>
        <v>&lt;UndergradPartTimeAwardedAnyFinancialAid Question="H2"&gt;-1&lt;/UndergradPartTimeAwardedAnyFinancialAid&gt;</v>
      </c>
    </row>
    <row r="608" spans="4:11" ht="12.75">
      <c r="D608" t="s">
        <v>851</v>
      </c>
      <c r="E608" s="269">
        <f>IF(FreshmanFullTimeAwardedNeedBasedGrant&lt;&gt;"",FreshmanFullTimeAwardedNeedBasedGrant,-1)</f>
        <v>301</v>
      </c>
      <c r="F608"/>
      <c r="G608" s="311" t="s">
        <v>851</v>
      </c>
      <c r="H608" t="s">
        <v>116</v>
      </c>
      <c r="K608" t="str">
        <f t="shared" si="20"/>
        <v>&lt;FreshmanFullTimeAwardedNeedBasedGrant Question="H2"&gt;301&lt;/FreshmanFullTimeAwardedNeedBasedGrant&gt;</v>
      </c>
    </row>
    <row r="609" spans="4:11" ht="12.75">
      <c r="D609" t="s">
        <v>852</v>
      </c>
      <c r="E609" s="269">
        <f>IF(UndergradFullTimeAwardedNeedBasedGrant&lt;&gt;"",UndergradFullTimeAwardedNeedBasedGrant,-1)</f>
        <v>1280</v>
      </c>
      <c r="F609"/>
      <c r="G609" s="311" t="s">
        <v>852</v>
      </c>
      <c r="H609" t="s">
        <v>116</v>
      </c>
      <c r="K609" t="str">
        <f t="shared" si="20"/>
        <v>&lt;UndergradFullTimeAwardedNeedBasedGrant Question="H2"&gt;1280&lt;/UndergradFullTimeAwardedNeedBasedGrant&gt;</v>
      </c>
    </row>
    <row r="610" spans="4:11" ht="12.75">
      <c r="D610" t="s">
        <v>853</v>
      </c>
      <c r="E610" s="269">
        <f>IF(UndergradPartTimeAwardedNeedBasedGrant&lt;&gt;"",UndergradPartTimeAwardedNeedBasedGrant,-1)</f>
        <v>-1</v>
      </c>
      <c r="F610"/>
      <c r="G610" s="311" t="s">
        <v>853</v>
      </c>
      <c r="H610" t="s">
        <v>116</v>
      </c>
      <c r="K610" t="str">
        <f t="shared" si="20"/>
        <v>&lt;UndergradPartTimeAwardedNeedBasedGrant Question="H2"&gt;-1&lt;/UndergradPartTimeAwardedNeedBasedGrant&gt;</v>
      </c>
    </row>
    <row r="611" spans="4:11" ht="12.75">
      <c r="D611" t="s">
        <v>854</v>
      </c>
      <c r="E611" s="269">
        <f>IF(FreshmanFullTimeAwardedNeedBasedSelfHelp&lt;&gt;"",FreshmanFullTimeAwardedNeedBasedSelfHelp,-1)</f>
        <v>314</v>
      </c>
      <c r="F611"/>
      <c r="G611" s="311" t="s">
        <v>854</v>
      </c>
      <c r="H611" t="s">
        <v>116</v>
      </c>
      <c r="K611" t="str">
        <f t="shared" si="20"/>
        <v>&lt;FreshmanFullTimeAwardedNeedBasedSelfHelp Question="H2"&gt;314&lt;/FreshmanFullTimeAwardedNeedBasedSelfHelp&gt;</v>
      </c>
    </row>
    <row r="612" spans="4:11" ht="12.75">
      <c r="D612" t="s">
        <v>855</v>
      </c>
      <c r="E612" s="269">
        <f>IF(UndergradFullTimeAwardedNeedBasedSelfHelp&lt;&gt;"",UndergradFullTimeAwardedNeedBasedSelfHelp,-1)</f>
        <v>1372</v>
      </c>
      <c r="F612"/>
      <c r="G612" s="311" t="s">
        <v>855</v>
      </c>
      <c r="H612" t="s">
        <v>116</v>
      </c>
      <c r="K612" t="str">
        <f t="shared" si="20"/>
        <v>&lt;UndergradFullTimeAwardedNeedBasedSelfHelp Question="H2"&gt;1372&lt;/UndergradFullTimeAwardedNeedBasedSelfHelp&gt;</v>
      </c>
    </row>
    <row r="613" spans="4:11" ht="12.75">
      <c r="D613" t="s">
        <v>1973</v>
      </c>
      <c r="E613" s="269">
        <f>IF(UndergradPartTimeAwardedNeedBasedSelfHelp&lt;&gt;"",UndergradPartTimeAwardedNeedBasedSelfHelp,-1)</f>
        <v>-1</v>
      </c>
      <c r="F613"/>
      <c r="G613" s="311" t="s">
        <v>1973</v>
      </c>
      <c r="H613" t="s">
        <v>116</v>
      </c>
      <c r="K613" t="str">
        <f t="shared" si="20"/>
        <v>&lt;UndergradPartTimeAwardedNeedBasedSelfHelp Question="H2"&gt;-1&lt;/UndergradPartTimeAwardedNeedBasedSelfHelp&gt;</v>
      </c>
    </row>
    <row r="614" spans="4:11" ht="12.75">
      <c r="D614" t="s">
        <v>1974</v>
      </c>
      <c r="E614" s="269">
        <f>IF(FreshmanFullTimeAwardedNonNeedBasedGrant&lt;&gt;"",FreshmanFullTimeAwardedNonNeedBasedGrant,-1)</f>
        <v>188</v>
      </c>
      <c r="F614"/>
      <c r="G614" s="311" t="s">
        <v>1974</v>
      </c>
      <c r="H614" t="s">
        <v>116</v>
      </c>
      <c r="K614" t="str">
        <f t="shared" si="20"/>
        <v>&lt;FreshmanFullTimeAwardedNonNeedBasedGrant Question="H2"&gt;188&lt;/FreshmanFullTimeAwardedNonNeedBasedGrant&gt;</v>
      </c>
    </row>
    <row r="615" spans="4:11" ht="12.75">
      <c r="D615" t="s">
        <v>1975</v>
      </c>
      <c r="E615" s="269">
        <f>IF(UndergradFullTimeAwardedNonNeedBasedGrant&lt;&gt;"",UndergradFullTimeAwardedNonNeedBasedGrant,-1)</f>
        <v>525</v>
      </c>
      <c r="F615"/>
      <c r="G615" s="311" t="s">
        <v>1975</v>
      </c>
      <c r="H615" t="s">
        <v>116</v>
      </c>
      <c r="K615" t="str">
        <f t="shared" si="20"/>
        <v>&lt;UndergradFullTimeAwardedNonNeedBasedGrant Question="H2"&gt;525&lt;/UndergradFullTimeAwardedNonNeedBasedGrant&gt;</v>
      </c>
    </row>
    <row r="616" spans="4:11" ht="12.75">
      <c r="D616" t="s">
        <v>1976</v>
      </c>
      <c r="E616" s="269">
        <f>IF(UndergradPartTimeAwardedNonNeedBasedGrant&lt;&gt;"",UndergradPartTimeAwardedNonNeedBasedGrant,-1)</f>
        <v>-1</v>
      </c>
      <c r="F616"/>
      <c r="G616" s="311" t="s">
        <v>1976</v>
      </c>
      <c r="H616" t="s">
        <v>116</v>
      </c>
      <c r="K616" t="str">
        <f t="shared" si="20"/>
        <v>&lt;UndergradPartTimeAwardedNonNeedBasedGrant Question="H2"&gt;-1&lt;/UndergradPartTimeAwardedNonNeedBasedGrant&gt;</v>
      </c>
    </row>
    <row r="617" spans="4:11" ht="12.75">
      <c r="D617" t="s">
        <v>1977</v>
      </c>
      <c r="E617" s="269">
        <f>IF(FreshmanFullTimeNeedFullyMet&lt;&gt;"",FreshmanFullTimeNeedFullyMet,-1)</f>
        <v>191</v>
      </c>
      <c r="F617"/>
      <c r="G617" s="311" t="s">
        <v>1977</v>
      </c>
      <c r="H617" t="s">
        <v>116</v>
      </c>
      <c r="K617" t="str">
        <f t="shared" si="20"/>
        <v>&lt;FreshmanFullTimeNeedFullyMet Question="H2"&gt;191&lt;/FreshmanFullTimeNeedFullyMet&gt;</v>
      </c>
    </row>
    <row r="618" spans="4:11" ht="12.75">
      <c r="D618" t="s">
        <v>1069</v>
      </c>
      <c r="E618" s="269">
        <f>IF(UndergradFullTimeNeedFullyMet&lt;&gt;"",UndergradFullTimeNeedFullyMet,-1)</f>
        <v>748</v>
      </c>
      <c r="F618"/>
      <c r="G618" s="311" t="s">
        <v>1069</v>
      </c>
      <c r="H618" t="s">
        <v>116</v>
      </c>
      <c r="K618" t="str">
        <f t="shared" si="20"/>
        <v>&lt;UndergradFullTimeNeedFullyMet Question="H2"&gt;748&lt;/UndergradFullTimeNeedFullyMet&gt;</v>
      </c>
    </row>
    <row r="619" spans="4:11" ht="12.75">
      <c r="D619" t="s">
        <v>1070</v>
      </c>
      <c r="E619" s="269">
        <f>IF(UndergradPartTimeNeedFullyMet&lt;&gt;"",UndergradPartTimeNeedFullyMet,-1)</f>
        <v>-1</v>
      </c>
      <c r="F619"/>
      <c r="G619" s="311" t="s">
        <v>1070</v>
      </c>
      <c r="H619" t="s">
        <v>116</v>
      </c>
      <c r="K619" t="str">
        <f t="shared" si="20"/>
        <v>&lt;UndergradPartTimeNeedFullyMet Question="H2"&gt;-1&lt;/UndergradPartTimeNeedFullyMet&gt;</v>
      </c>
    </row>
    <row r="620" spans="4:11" ht="12.75">
      <c r="D620" t="s">
        <v>1071</v>
      </c>
      <c r="E620" s="268">
        <f>IF(FreshmanFullTimePercentOfNeedMet&lt;&gt;"",FreshmanFullTimePercentOfNeedMet*100,"-1")</f>
        <v>85</v>
      </c>
      <c r="F620" t="str">
        <f>"=IF("&amp;D620&amp;"&lt;&gt;"""","&amp;D620&amp;"*100,""-1"")"</f>
        <v>=IF(FreshmanFullTimePercentOfNeedMet&lt;&gt;"",FreshmanFullTimePercentOfNeedMet*100,"-1")</v>
      </c>
      <c r="G620" s="308" t="s">
        <v>1071</v>
      </c>
      <c r="H620" t="s">
        <v>116</v>
      </c>
      <c r="K620" t="str">
        <f t="shared" si="20"/>
        <v>&lt;FreshmanFullTimePercentOfNeedMet Question="H2"&gt;85&lt;/FreshmanFullTimePercentOfNeedMet&gt;</v>
      </c>
    </row>
    <row r="621" spans="4:11" ht="12.75">
      <c r="D621" t="s">
        <v>1072</v>
      </c>
      <c r="E621" s="268">
        <f>IF(UndergradFullTimePercentOfNeedMet&lt;&gt;"",UndergradFullTimePercentOfNeedMet*100,"-1")</f>
        <v>86</v>
      </c>
      <c r="F621"/>
      <c r="G621" s="308" t="s">
        <v>1072</v>
      </c>
      <c r="H621" t="s">
        <v>116</v>
      </c>
      <c r="K621" t="str">
        <f t="shared" si="20"/>
        <v>&lt;UndergradFullTimePercentOfNeedMet Question="H2"&gt;86&lt;/UndergradFullTimePercentOfNeedMet&gt;</v>
      </c>
    </row>
    <row r="622" spans="4:11" ht="12.75">
      <c r="D622" t="s">
        <v>1073</v>
      </c>
      <c r="E622" s="268" t="str">
        <f>IF(UndergradPartTimePercentOfNeedMet&lt;&gt;"",UndergradPartTimePercentOfNeedMet*100,"-1")</f>
        <v>-1</v>
      </c>
      <c r="F622"/>
      <c r="G622" s="308" t="s">
        <v>1073</v>
      </c>
      <c r="H622" t="s">
        <v>116</v>
      </c>
      <c r="K622" t="str">
        <f t="shared" si="20"/>
        <v>&lt;UndergradPartTimePercentOfNeedMet Question="H2"&gt;-1&lt;/UndergradPartTimePercentOfNeedMet&gt;</v>
      </c>
    </row>
    <row r="623" spans="4:11" ht="12.75">
      <c r="D623" t="s">
        <v>1074</v>
      </c>
      <c r="E623" s="269">
        <f>IF(FreshmanFullTimeAverageFinancialAidPackage&lt;&gt;"",FreshmanFullTimeAverageFinancialAidPackage,-1)</f>
        <v>12980</v>
      </c>
      <c r="F623" t="str">
        <f>"=IF("&amp;D623&amp;"&lt;&gt;"""","&amp;D623&amp;",-1)"</f>
        <v>=IF(FreshmanFullTimeAverageFinancialAidPackage&lt;&gt;"",FreshmanFullTimeAverageFinancialAidPackage,-1)</v>
      </c>
      <c r="G623" s="311" t="s">
        <v>1074</v>
      </c>
      <c r="H623" t="s">
        <v>116</v>
      </c>
      <c r="K623" t="str">
        <f t="shared" si="20"/>
        <v>&lt;FreshmanFullTimeAverageFinancialAidPackage Question="H2"&gt;12980&lt;/FreshmanFullTimeAverageFinancialAidPackage&gt;</v>
      </c>
    </row>
    <row r="624" spans="4:11" ht="12.75">
      <c r="D624" t="s">
        <v>1075</v>
      </c>
      <c r="E624" s="269">
        <f>IF(UndergradFullTimeAverageFinancialAidPackage&lt;&gt;"",UndergradFullTimeAverageFinancialAidPackage,-1)</f>
        <v>13302</v>
      </c>
      <c r="F624"/>
      <c r="G624" s="311" t="s">
        <v>1075</v>
      </c>
      <c r="H624" t="s">
        <v>116</v>
      </c>
      <c r="K624" t="str">
        <f t="shared" si="20"/>
        <v>&lt;UndergradFullTimeAverageFinancialAidPackage Question="H2"&gt;13302&lt;/UndergradFullTimeAverageFinancialAidPackage&gt;</v>
      </c>
    </row>
    <row r="625" spans="4:11" ht="12.75">
      <c r="D625" t="s">
        <v>1076</v>
      </c>
      <c r="E625" s="269">
        <f>IF(UndergradPartTimeAverageFinancialAidPackage&lt;&gt;"",UndergradPartTimeAverageFinancialAidPackage,-1)</f>
        <v>-1</v>
      </c>
      <c r="F625"/>
      <c r="G625" s="311" t="s">
        <v>1076</v>
      </c>
      <c r="H625" t="s">
        <v>116</v>
      </c>
      <c r="K625" t="str">
        <f t="shared" si="20"/>
        <v>&lt;UndergradPartTimeAverageFinancialAidPackage Question="H2"&gt;-1&lt;/UndergradPartTimeAverageFinancialAidPackage&gt;</v>
      </c>
    </row>
    <row r="626" spans="4:11" ht="12.75">
      <c r="D626" t="s">
        <v>1077</v>
      </c>
      <c r="E626" s="269">
        <f>IF(FreshmanFullTimeAverageNeedBasedGrant&lt;&gt;"",FreshmanFullTimeAverageNeedBasedGrant,-1)</f>
        <v>12376</v>
      </c>
      <c r="F626"/>
      <c r="G626" s="307" t="s">
        <v>1077</v>
      </c>
      <c r="H626" t="s">
        <v>116</v>
      </c>
      <c r="K626" t="str">
        <f t="shared" si="20"/>
        <v>&lt;FreshmanFullTimeAverageNeedBasedGrant Question="H2"&gt;12376&lt;/FreshmanFullTimeAverageNeedBasedGrant&gt;</v>
      </c>
    </row>
    <row r="627" spans="4:11" ht="12.75">
      <c r="D627" t="s">
        <v>1078</v>
      </c>
      <c r="E627" s="269">
        <f>IF(UndergradFullTimeAverageNeedBasedGrant&lt;&gt;"",UndergradFullTimeAverageNeedBasedGrant,-1)</f>
        <v>12884</v>
      </c>
      <c r="F627"/>
      <c r="G627" s="307" t="s">
        <v>1078</v>
      </c>
      <c r="H627" t="s">
        <v>116</v>
      </c>
      <c r="K627" t="str">
        <f t="shared" si="20"/>
        <v>&lt;UndergradFullTimeAverageNeedBasedGrant Question="H2"&gt;12884&lt;/UndergradFullTimeAverageNeedBasedGrant&gt;</v>
      </c>
    </row>
    <row r="628" spans="4:11" ht="12.75">
      <c r="D628" t="s">
        <v>1079</v>
      </c>
      <c r="E628" s="269">
        <f>IF(UndergradPartTimeAverageNeedBasedGrant&lt;&gt;"",UndergradPartTimeAverageNeedBasedGrant,-1)</f>
        <v>-1</v>
      </c>
      <c r="F628"/>
      <c r="G628" s="307" t="s">
        <v>1079</v>
      </c>
      <c r="H628" t="s">
        <v>116</v>
      </c>
      <c r="K628" t="str">
        <f t="shared" si="20"/>
        <v>&lt;UndergradPartTimeAverageNeedBasedGrant Question="H2"&gt;-1&lt;/UndergradPartTimeAverageNeedBasedGrant&gt;</v>
      </c>
    </row>
    <row r="629" spans="4:11" ht="12.75">
      <c r="D629" t="s">
        <v>1080</v>
      </c>
      <c r="E629" s="269">
        <f>IF(FreshmanFullTimeAverageNeedBasedSelfHelp&lt;&gt;"",FreshmanFullTimeAverageNeedBasedSelfHelp,-1)</f>
        <v>2701</v>
      </c>
      <c r="F629"/>
      <c r="G629" s="307" t="s">
        <v>1080</v>
      </c>
      <c r="H629" t="s">
        <v>116</v>
      </c>
      <c r="K629" t="str">
        <f t="shared" si="20"/>
        <v>&lt;FreshmanFullTimeAverageNeedBasedSelfHelp Question="H2"&gt;2701&lt;/FreshmanFullTimeAverageNeedBasedSelfHelp&gt;</v>
      </c>
    </row>
    <row r="630" spans="4:11" ht="12.75">
      <c r="D630" t="s">
        <v>1081</v>
      </c>
      <c r="E630" s="269">
        <f>IF(UndergradFullTimeAverageNeedBasedSelfHelp&lt;&gt;"",UndergradFullTimeAverageNeedBasedSelfHelp,-1)</f>
        <v>2959</v>
      </c>
      <c r="F630"/>
      <c r="G630" s="307" t="s">
        <v>1081</v>
      </c>
      <c r="H630" t="s">
        <v>116</v>
      </c>
      <c r="K630" t="str">
        <f t="shared" si="20"/>
        <v>&lt;UndergradFullTimeAverageNeedBasedSelfHelp Question="H2"&gt;2959&lt;/UndergradFullTimeAverageNeedBasedSelfHelp&gt;</v>
      </c>
    </row>
    <row r="631" spans="4:11" ht="12.75">
      <c r="D631" t="s">
        <v>1082</v>
      </c>
      <c r="E631" s="269">
        <f>IF(UndergradPartTimeAverageNeedBasedSelfHelp&lt;&gt;"",UndergradPartTimeAverageNeedBasedSelfHelp,-1)</f>
        <v>-1</v>
      </c>
      <c r="F631"/>
      <c r="G631" s="307" t="s">
        <v>1082</v>
      </c>
      <c r="H631" t="s">
        <v>116</v>
      </c>
      <c r="K631" t="str">
        <f t="shared" si="20"/>
        <v>&lt;UndergradPartTimeAverageNeedBasedSelfHelp Question="H2"&gt;-1&lt;/UndergradPartTimeAverageNeedBasedSelfHelp&gt;</v>
      </c>
    </row>
    <row r="632" spans="4:11" ht="12.75">
      <c r="D632" t="s">
        <v>1083</v>
      </c>
      <c r="E632" s="269">
        <f>IF(FreshmanFullTimeAverageNeedBasedLoan&lt;&gt;"",FreshmanFullTimeAverageNeedBasedLoan,-1)</f>
        <v>2330</v>
      </c>
      <c r="F632"/>
      <c r="G632" s="307" t="s">
        <v>1083</v>
      </c>
      <c r="H632" t="s">
        <v>116</v>
      </c>
      <c r="K632" t="str">
        <f t="shared" si="20"/>
        <v>&lt;FreshmanFullTimeAverageNeedBasedLoan Question="H2"&gt;2330&lt;/FreshmanFullTimeAverageNeedBasedLoan&gt;</v>
      </c>
    </row>
    <row r="633" spans="4:11" ht="12.75">
      <c r="D633" t="s">
        <v>1084</v>
      </c>
      <c r="E633" s="269">
        <f>IF(UndergradFullTimeAverageNeedBasedLoan&lt;&gt;"",UndergradFullTimeAverageNeedBasedLoan,-1)</f>
        <v>2830</v>
      </c>
      <c r="F633"/>
      <c r="G633" s="307" t="s">
        <v>1084</v>
      </c>
      <c r="H633" t="s">
        <v>116</v>
      </c>
      <c r="K633" t="str">
        <f t="shared" si="20"/>
        <v>&lt;UndergradFullTimeAverageNeedBasedLoan Question="H2"&gt;2830&lt;/UndergradFullTimeAverageNeedBasedLoan&gt;</v>
      </c>
    </row>
    <row r="634" spans="4:11" ht="12.75">
      <c r="D634" t="s">
        <v>1085</v>
      </c>
      <c r="E634" s="269">
        <f>IF(UndergradPartTimeAverageNeedBasedLoan&lt;&gt;"",UndergradPartTimeAverageNeedBasedLoan,-1)</f>
        <v>-1</v>
      </c>
      <c r="F634"/>
      <c r="G634" s="307" t="s">
        <v>1085</v>
      </c>
      <c r="H634" t="s">
        <v>116</v>
      </c>
      <c r="K634" t="str">
        <f t="shared" si="20"/>
        <v>&lt;UndergradPartTimeAverageNeedBasedLoan Question="H2"&gt;-1&lt;/UndergradPartTimeAverageNeedBasedLoan&gt;</v>
      </c>
    </row>
    <row r="635" spans="4:11" ht="12.75">
      <c r="D635" t="s">
        <v>1086</v>
      </c>
      <c r="E635" s="269">
        <f>IF(FreshmanFullTimeNoNeedAwardedNonNeedBasedGrant&lt;&gt;"",FreshmanFullTimeNoNeedAwardedNonNeedBasedGrant,-1)</f>
        <v>22</v>
      </c>
      <c r="F635"/>
      <c r="G635" s="311" t="s">
        <v>1086</v>
      </c>
      <c r="H635" t="s">
        <v>1395</v>
      </c>
      <c r="K635" t="str">
        <f aca="true" t="shared" si="21" ref="K635:K666">"&lt;"&amp;G635&amp;" Question="""&amp;H635&amp;"""&gt;"&amp;IF(J635=1,"&lt;![CDATA[","")&amp;E635&amp;IF(J635=1,"]]&gt;","")&amp;"&lt;/"&amp;G635&amp;"&gt;"</f>
        <v>&lt;FreshmanFullTimeNoNeedAwardedNonNeedBasedGrant Question="H2A"&gt;22&lt;/FreshmanFullTimeNoNeedAwardedNonNeedBasedGrant&gt;</v>
      </c>
    </row>
    <row r="636" spans="4:11" ht="12.75">
      <c r="D636" t="s">
        <v>1087</v>
      </c>
      <c r="E636" s="269">
        <f>IF(UndergradFullTimeNoNeedAwardedNonNeedBasedGrant&lt;&gt;"",UndergradFullTimeNoNeedAwardedNonNeedBasedGrant,-1)</f>
        <v>259</v>
      </c>
      <c r="F636"/>
      <c r="G636" s="311" t="s">
        <v>1087</v>
      </c>
      <c r="H636" t="s">
        <v>1395</v>
      </c>
      <c r="K636" t="str">
        <f t="shared" si="21"/>
        <v>&lt;UndergradFullTimeNoNeedAwardedNonNeedBasedGrant Question="H2A"&gt;259&lt;/UndergradFullTimeNoNeedAwardedNonNeedBasedGrant&gt;</v>
      </c>
    </row>
    <row r="637" spans="4:11" ht="12.75">
      <c r="D637" t="s">
        <v>1088</v>
      </c>
      <c r="E637" s="269">
        <f>IF(UndergradPartTimeNoNeedAwardedNonNeedBasedGrant&lt;&gt;"",UndergradPartTimeNoNeedAwardedNonNeedBasedGrant,-1)</f>
        <v>-1</v>
      </c>
      <c r="F637"/>
      <c r="G637" s="311" t="s">
        <v>1088</v>
      </c>
      <c r="H637" t="s">
        <v>1395</v>
      </c>
      <c r="K637" t="str">
        <f t="shared" si="21"/>
        <v>&lt;UndergradPartTimeNoNeedAwardedNonNeedBasedGrant Question="H2A"&gt;-1&lt;/UndergradPartTimeNoNeedAwardedNonNeedBasedGrant&gt;</v>
      </c>
    </row>
    <row r="638" spans="4:11" ht="12.75">
      <c r="D638" t="s">
        <v>1089</v>
      </c>
      <c r="E638" s="269">
        <f>IF(FreshmanFullTimeNoNeedAverageNonNeedBasedGrantAward&lt;&gt;"",FreshmanFullTimeNoNeedAverageNonNeedBasedGrantAward,-1)</f>
        <v>5854</v>
      </c>
      <c r="F638"/>
      <c r="G638" s="311" t="s">
        <v>1089</v>
      </c>
      <c r="H638" t="s">
        <v>1395</v>
      </c>
      <c r="K638" t="str">
        <f t="shared" si="21"/>
        <v>&lt;FreshmanFullTimeNoNeedAverageNonNeedBasedGrantAward Question="H2A"&gt;5854&lt;/FreshmanFullTimeNoNeedAverageNonNeedBasedGrantAward&gt;</v>
      </c>
    </row>
    <row r="639" spans="4:11" ht="12.75">
      <c r="D639" t="s">
        <v>1090</v>
      </c>
      <c r="E639" s="269">
        <f>IF(UndergradFullTimeNoNeedAverageNonNeedBasedGrantAward&lt;&gt;"",UndergradFullTimeNoNeedAverageNonNeedBasedGrantAward,-1)</f>
        <v>5403</v>
      </c>
      <c r="F639"/>
      <c r="G639" s="311" t="s">
        <v>1090</v>
      </c>
      <c r="H639" t="s">
        <v>1395</v>
      </c>
      <c r="K639" t="str">
        <f t="shared" si="21"/>
        <v>&lt;UndergradFullTimeNoNeedAverageNonNeedBasedGrantAward Question="H2A"&gt;5403&lt;/UndergradFullTimeNoNeedAverageNonNeedBasedGrantAward&gt;</v>
      </c>
    </row>
    <row r="640" spans="4:11" ht="12.75">
      <c r="D640" t="s">
        <v>1091</v>
      </c>
      <c r="E640" s="269">
        <f>IF(UndergradPartTimeNoNeedAverageNonNeedBasedGrantAward&lt;&gt;"",UndergradPartTimeNoNeedAverageNonNeedBasedGrantAward,-1)</f>
        <v>-1</v>
      </c>
      <c r="F640"/>
      <c r="G640" s="311" t="s">
        <v>1091</v>
      </c>
      <c r="H640" t="s">
        <v>1395</v>
      </c>
      <c r="K640" t="str">
        <f t="shared" si="21"/>
        <v>&lt;UndergradPartTimeNoNeedAverageNonNeedBasedGrantAward Question="H2A"&gt;-1&lt;/UndergradPartTimeNoNeedAverageNonNeedBasedGrantAward&gt;</v>
      </c>
    </row>
    <row r="641" spans="4:11" ht="12.75">
      <c r="D641" t="s">
        <v>1092</v>
      </c>
      <c r="E641" s="269">
        <f>IF(FreshmanFullTimeNoNeedAwardedAthleticScholarship&lt;&gt;"",FreshmanFullTimeNoNeedAwardedAthleticScholarship,-1)</f>
        <v>72</v>
      </c>
      <c r="F641"/>
      <c r="G641" s="311" t="s">
        <v>1092</v>
      </c>
      <c r="H641" t="s">
        <v>1395</v>
      </c>
      <c r="K641" t="str">
        <f t="shared" si="21"/>
        <v>&lt;FreshmanFullTimeNoNeedAwardedAthleticScholarship Question="H2A"&gt;72&lt;/FreshmanFullTimeNoNeedAwardedAthleticScholarship&gt;</v>
      </c>
    </row>
    <row r="642" spans="4:11" ht="12.75">
      <c r="D642" t="s">
        <v>1093</v>
      </c>
      <c r="E642" s="269">
        <f>IF(UndergradFullTimeNoNeedAwardedAthleticScholarship&lt;&gt;"",UndergradFullTimeNoNeedAwardedAthleticScholarship,-1)</f>
        <v>319</v>
      </c>
      <c r="F642"/>
      <c r="G642" s="311" t="s">
        <v>1093</v>
      </c>
      <c r="H642" t="s">
        <v>1395</v>
      </c>
      <c r="K642" t="str">
        <f t="shared" si="21"/>
        <v>&lt;UndergradFullTimeNoNeedAwardedAthleticScholarship Question="H2A"&gt;319&lt;/UndergradFullTimeNoNeedAwardedAthleticScholarship&gt;</v>
      </c>
    </row>
    <row r="643" spans="4:11" ht="12.75">
      <c r="D643" t="s">
        <v>1094</v>
      </c>
      <c r="E643" s="269">
        <f>IF(UndergradPartTimeNoNeedAwardedAthleticScholarship&lt;&gt;"",UndergradPartTimeNoNeedAwardedAthleticScholarship,-1)</f>
        <v>-1</v>
      </c>
      <c r="F643"/>
      <c r="G643" s="311" t="s">
        <v>1094</v>
      </c>
      <c r="H643" t="s">
        <v>1395</v>
      </c>
      <c r="K643" t="str">
        <f t="shared" si="21"/>
        <v>&lt;UndergradPartTimeNoNeedAwardedAthleticScholarship Question="H2A"&gt;-1&lt;/UndergradPartTimeNoNeedAwardedAthleticScholarship&gt;</v>
      </c>
    </row>
    <row r="644" spans="4:11" ht="12.75">
      <c r="D644" t="s">
        <v>1095</v>
      </c>
      <c r="E644" s="269">
        <f>IF(FreshmanFullTimeNoNeedAverageNonNeedBasedAthleticAwards&lt;&gt;"",FreshmanFullTimeNoNeedAverageNonNeedBasedAthleticAwards,-1)</f>
        <v>14521</v>
      </c>
      <c r="F644"/>
      <c r="G644" s="311" t="s">
        <v>1095</v>
      </c>
      <c r="H644" t="s">
        <v>1395</v>
      </c>
      <c r="K644" t="str">
        <f t="shared" si="21"/>
        <v>&lt;FreshmanFullTimeNoNeedAverageNonNeedBasedAthleticAwards Question="H2A"&gt;14521&lt;/FreshmanFullTimeNoNeedAverageNonNeedBasedAthleticAwards&gt;</v>
      </c>
    </row>
    <row r="645" spans="4:11" ht="12.75">
      <c r="D645" t="s">
        <v>1096</v>
      </c>
      <c r="E645" s="269">
        <f>IF(UndergradFullTimeNoNeedAverageNonNeedBasedAthleticAwards&lt;&gt;"",UndergradFullTimeNoNeedAverageNonNeedBasedAthleticAwards,-1)</f>
        <v>15770</v>
      </c>
      <c r="F645"/>
      <c r="G645" s="311" t="s">
        <v>1096</v>
      </c>
      <c r="H645" t="s">
        <v>1395</v>
      </c>
      <c r="K645" t="str">
        <f t="shared" si="21"/>
        <v>&lt;UndergradFullTimeNoNeedAverageNonNeedBasedAthleticAwards Question="H2A"&gt;15770&lt;/UndergradFullTimeNoNeedAverageNonNeedBasedAthleticAwards&gt;</v>
      </c>
    </row>
    <row r="646" spans="4:11" ht="12.75">
      <c r="D646" t="s">
        <v>1097</v>
      </c>
      <c r="E646" s="269">
        <f>IF(UndergradPartTimeNoNeedAverageNonNeedBasedAthleticAwards&lt;&gt;"",UndergradPartTimeNoNeedAverageNonNeedBasedAthleticAwards,-1)</f>
        <v>-1</v>
      </c>
      <c r="F646"/>
      <c r="G646" s="311" t="s">
        <v>1097</v>
      </c>
      <c r="H646" t="s">
        <v>1395</v>
      </c>
      <c r="K646" t="str">
        <f t="shared" si="21"/>
        <v>&lt;UndergradPartTimeNoNeedAverageNonNeedBasedAthleticAwards Question="H2A"&gt;-1&lt;/UndergradPartTimeNoNeedAverageNonNeedBasedAthleticAwards&gt;</v>
      </c>
    </row>
    <row r="647" spans="4:11" ht="12.75">
      <c r="D647" t="s">
        <v>1098</v>
      </c>
      <c r="E647" s="268">
        <f>IF(UndergradRecentGraduatesReceivedLoanPercent&lt;&gt;"",UndergradRecentGraduatesReceivedLoanPercent*100,"-1")</f>
        <v>32</v>
      </c>
      <c r="F647" t="str">
        <f>"=IF("&amp;D647&amp;"&lt;&gt;"""","&amp;D647&amp;"*100,""-1"")"</f>
        <v>=IF(UndergradRecentGraduatesReceivedLoanPercent&lt;&gt;"",UndergradRecentGraduatesReceivedLoanPercent*100,"-1")</v>
      </c>
      <c r="G647" s="308" t="s">
        <v>1098</v>
      </c>
      <c r="H647" t="s">
        <v>118</v>
      </c>
      <c r="K647" t="str">
        <f t="shared" si="21"/>
        <v>&lt;UndergradRecentGraduatesReceivedLoanPercent Question="H4"&gt;32&lt;/UndergradRecentGraduatesReceivedLoanPercent&gt;</v>
      </c>
    </row>
    <row r="648" spans="4:11" ht="12.75">
      <c r="D648" t="s">
        <v>1099</v>
      </c>
      <c r="E648" s="268">
        <f>IF(UndergradRecentGraduatesReceivedFederalLoanPercent&lt;&gt;"",UndergradRecentGraduatesReceivedFederalLoanPercent*100,"-1")</f>
        <v>32</v>
      </c>
      <c r="F648"/>
      <c r="G648" s="308" t="s">
        <v>1099</v>
      </c>
      <c r="H648" t="s">
        <v>327</v>
      </c>
      <c r="K648" t="str">
        <f t="shared" si="21"/>
        <v>&lt;UndergradRecentGraduatesReceivedFederalLoanPercent Question="H4A"&gt;32&lt;/UndergradRecentGraduatesReceivedFederalLoanPercent&gt;</v>
      </c>
    </row>
    <row r="649" spans="4:11" ht="12.75">
      <c r="D649" t="s">
        <v>1100</v>
      </c>
      <c r="E649" s="269">
        <f>IF(UndergradRecentGraduatesLoanAverage&lt;&gt;"",UndergradRecentGraduatesLoanAverage,-1)</f>
        <v>15602</v>
      </c>
      <c r="F649" t="str">
        <f>"=IF("&amp;D649&amp;"&lt;&gt;"""","&amp;D649&amp;",-1)"</f>
        <v>=IF(UndergradRecentGraduatesLoanAverage&lt;&gt;"",UndergradRecentGraduatesLoanAverage,-1)</v>
      </c>
      <c r="G649" s="311" t="s">
        <v>1100</v>
      </c>
      <c r="H649" t="s">
        <v>119</v>
      </c>
      <c r="K649" t="str">
        <f t="shared" si="21"/>
        <v>&lt;UndergradRecentGraduatesLoanAverage Question="H5"&gt;15602&lt;/UndergradRecentGraduatesLoanAverage&gt;</v>
      </c>
    </row>
    <row r="650" spans="4:11" ht="12.75">
      <c r="D650" t="s">
        <v>1101</v>
      </c>
      <c r="E650" s="269">
        <f>IF(UndergradRecentGraduatesFederalLoanAverage&lt;&gt;"",UndergradRecentGraduatesFederalLoanAverage,-1)</f>
        <v>12234</v>
      </c>
      <c r="F650"/>
      <c r="G650" s="311" t="s">
        <v>1101</v>
      </c>
      <c r="H650" t="s">
        <v>328</v>
      </c>
      <c r="K650" t="str">
        <f t="shared" si="21"/>
        <v>&lt;UndergradRecentGraduatesFederalLoanAverage Question="H5A"&gt;12234&lt;/UndergradRecentGraduatesFederalLoanAverage&gt;</v>
      </c>
    </row>
    <row r="651" spans="4:11" ht="12.75">
      <c r="D651" t="s">
        <v>1629</v>
      </c>
      <c r="E651" s="254" t="str">
        <f>IF(FinancialAidNeedBasedGrants&lt;&gt;"","True","False")</f>
        <v>True</v>
      </c>
      <c r="F651" t="str">
        <f>"=IF("&amp;D651&amp;"&lt;&gt;"""",""True"",""False"")"</f>
        <v>=IF(FinancialAidNeedBasedGrants&lt;&gt;"","True","False")</v>
      </c>
      <c r="G651" s="307" t="s">
        <v>1629</v>
      </c>
      <c r="H651" t="s">
        <v>120</v>
      </c>
      <c r="K651" t="str">
        <f t="shared" si="21"/>
        <v>&lt;FinancialAidNeedBasedGrants Question="H6"&gt;True&lt;/FinancialAidNeedBasedGrants&gt;</v>
      </c>
    </row>
    <row r="652" spans="4:11" ht="12.75">
      <c r="D652" t="s">
        <v>1630</v>
      </c>
      <c r="E652" s="254" t="str">
        <f>IF(FinancialAidNonNeedBasedGrants&lt;&gt;"","True","False")</f>
        <v>True</v>
      </c>
      <c r="F652"/>
      <c r="G652" s="307" t="s">
        <v>1630</v>
      </c>
      <c r="H652" t="s">
        <v>120</v>
      </c>
      <c r="K652" t="str">
        <f t="shared" si="21"/>
        <v>&lt;FinancialAidNonNeedBasedGrants Question="H6"&gt;True&lt;/FinancialAidNonNeedBasedGrants&gt;</v>
      </c>
    </row>
    <row r="653" spans="4:11" ht="12.75">
      <c r="D653" t="s">
        <v>1631</v>
      </c>
      <c r="E653" s="254" t="str">
        <f>IF(FinancialAidNoGrants&lt;&gt;"","True","False")</f>
        <v>True</v>
      </c>
      <c r="F653"/>
      <c r="G653" s="307" t="s">
        <v>1631</v>
      </c>
      <c r="H653" t="s">
        <v>120</v>
      </c>
      <c r="K653" t="str">
        <f t="shared" si="21"/>
        <v>&lt;FinancialAidNoGrants Question="H6"&gt;True&lt;/FinancialAidNoGrants&gt;</v>
      </c>
    </row>
    <row r="654" spans="4:11" ht="12.75">
      <c r="D654" t="s">
        <v>1632</v>
      </c>
      <c r="E654" s="269" t="str">
        <f>IF(InternationalStudentsAwardedGrants&lt;&gt;"",InternationalStudentsAwardedGrants,-1)</f>
        <v>N/A</v>
      </c>
      <c r="F654" t="str">
        <f>"=IF("&amp;D654&amp;"&lt;&gt;"""","&amp;D654&amp;",-1)"</f>
        <v>=IF(InternationalStudentsAwardedGrants&lt;&gt;"",InternationalStudentsAwardedGrants,-1)</v>
      </c>
      <c r="G654" s="311" t="s">
        <v>1632</v>
      </c>
      <c r="H654" t="s">
        <v>120</v>
      </c>
      <c r="K654" t="str">
        <f t="shared" si="21"/>
        <v>&lt;InternationalStudentsAwardedGrants Question="H6"&gt;N/A&lt;/InternationalStudentsAwardedGrants&gt;</v>
      </c>
    </row>
    <row r="655" spans="4:11" ht="12.75">
      <c r="D655" t="s">
        <v>1633</v>
      </c>
      <c r="E655" s="269" t="str">
        <f>IF(InternationalStudentsGrantAverage&lt;&gt;"",InternationalStudentsGrantAverage,-1)</f>
        <v>N/A</v>
      </c>
      <c r="F655"/>
      <c r="G655" s="311" t="s">
        <v>1633</v>
      </c>
      <c r="H655" t="s">
        <v>120</v>
      </c>
      <c r="K655" t="str">
        <f t="shared" si="21"/>
        <v>&lt;InternationalStudentsGrantAverage Question="H6"&gt;N/A&lt;/InternationalStudentsGrantAverage&gt;</v>
      </c>
    </row>
    <row r="656" spans="4:11" ht="12.75">
      <c r="D656" t="s">
        <v>1634</v>
      </c>
      <c r="E656" s="269" t="str">
        <f>IF(InternationalStudentsGrantTotal&lt;&gt;"",InternationalStudentsGrantTotal,-1)</f>
        <v>N/A</v>
      </c>
      <c r="F656"/>
      <c r="G656" s="311" t="s">
        <v>1634</v>
      </c>
      <c r="H656" t="s">
        <v>120</v>
      </c>
      <c r="K656" t="str">
        <f t="shared" si="21"/>
        <v>&lt;InternationalStudentsGrantTotal Question="H6"&gt;N/A&lt;/InternationalStudentsGrantTotal&gt;</v>
      </c>
    </row>
    <row r="657" spans="4:11" ht="12.75">
      <c r="D657" t="s">
        <v>1635</v>
      </c>
      <c r="E657" s="254" t="str">
        <f>IF(InternationalFinancialAidFormInstitutional&lt;&gt;"","True","False")</f>
        <v>True</v>
      </c>
      <c r="F657" t="str">
        <f>"=IF("&amp;D657&amp;"&lt;&gt;"""",""True"",""False"")"</f>
        <v>=IF(InternationalFinancialAidFormInstitutional&lt;&gt;"","True","False")</v>
      </c>
      <c r="G657" s="307" t="s">
        <v>1635</v>
      </c>
      <c r="H657" t="s">
        <v>121</v>
      </c>
      <c r="K657" t="str">
        <f t="shared" si="21"/>
        <v>&lt;InternationalFinancialAidFormInstitutional Question="H7"&gt;True&lt;/InternationalFinancialAidFormInstitutional&gt;</v>
      </c>
    </row>
    <row r="658" spans="4:11" ht="12.75">
      <c r="D658" t="s">
        <v>1636</v>
      </c>
      <c r="E658" s="254" t="str">
        <f>IF(InternationalFinancialAidFormCSSPROFILE&lt;&gt;"","True","False")</f>
        <v>True</v>
      </c>
      <c r="F658"/>
      <c r="G658" s="307" t="s">
        <v>1636</v>
      </c>
      <c r="H658" t="s">
        <v>121</v>
      </c>
      <c r="K658" t="str">
        <f t="shared" si="21"/>
        <v>&lt;InternationalFinancialAidFormCSSPROFILE Question="H7"&gt;True&lt;/InternationalFinancialAidFormCSSPROFILE&gt;</v>
      </c>
    </row>
    <row r="659" spans="4:11" ht="12.75">
      <c r="D659" t="s">
        <v>1637</v>
      </c>
      <c r="E659" s="254" t="str">
        <f>IF(InternationalFinancialAidFormInternationalApplication&lt;&gt;"","True","False")</f>
        <v>True</v>
      </c>
      <c r="F659"/>
      <c r="G659" s="307" t="s">
        <v>1637</v>
      </c>
      <c r="H659" t="s">
        <v>121</v>
      </c>
      <c r="K659" t="str">
        <f t="shared" si="21"/>
        <v>&lt;InternationalFinancialAidFormInternationalApplication Question="H7"&gt;True&lt;/InternationalFinancialAidFormInternationalApplication&gt;</v>
      </c>
    </row>
    <row r="660" spans="4:11" ht="12.75">
      <c r="D660" t="s">
        <v>1638</v>
      </c>
      <c r="E660" s="254" t="str">
        <f>IF(InternationalFinancialAidFormCertificationOfFinances&lt;&gt;"","True","False")</f>
        <v>True</v>
      </c>
      <c r="F660"/>
      <c r="G660" s="307" t="s">
        <v>1638</v>
      </c>
      <c r="H660" t="s">
        <v>121</v>
      </c>
      <c r="K660" t="str">
        <f t="shared" si="21"/>
        <v>&lt;InternationalFinancialAidFormCertificationOfFinances Question="H7"&gt;True&lt;/InternationalFinancialAidFormCertificationOfFinances&gt;</v>
      </c>
    </row>
    <row r="661" spans="4:11" ht="12.75">
      <c r="D661" t="s">
        <v>1639</v>
      </c>
      <c r="E661" s="254">
        <f>IF(InternationalFinancialAidFormOther&lt;&gt;"",InternationalFinancialAidFormOther,"")</f>
      </c>
      <c r="F661" t="str">
        <f>"=IF("&amp;D661&amp;"&lt;&gt;"""","&amp;D661&amp;","""")"</f>
        <v>=IF(InternationalFinancialAidFormOther&lt;&gt;"",InternationalFinancialAidFormOther,"")</v>
      </c>
      <c r="G661" s="307" t="s">
        <v>1639</v>
      </c>
      <c r="H661" t="s">
        <v>121</v>
      </c>
      <c r="J661">
        <v>1</v>
      </c>
      <c r="K661" t="str">
        <f t="shared" si="21"/>
        <v>&lt;InternationalFinancialAidFormOther Question="H7"&gt;&lt;![CDATA[]]&gt;&lt;/InternationalFinancialAidFormOther&gt;</v>
      </c>
    </row>
    <row r="662" spans="4:11" ht="12.75">
      <c r="D662" t="s">
        <v>1640</v>
      </c>
      <c r="E662" s="254" t="str">
        <f>IF(FreshmanFinancialAidFormFAFSA&lt;&gt;"","True","False")</f>
        <v>True</v>
      </c>
      <c r="F662" t="str">
        <f>"=IF("&amp;D662&amp;"&lt;&gt;"""",""True"",""False"")"</f>
        <v>=IF(FreshmanFinancialAidFormFAFSA&lt;&gt;"","True","False")</v>
      </c>
      <c r="G662" s="307" t="s">
        <v>1640</v>
      </c>
      <c r="H662" t="s">
        <v>122</v>
      </c>
      <c r="K662" t="str">
        <f t="shared" si="21"/>
        <v>&lt;FreshmanFinancialAidFormFAFSA Question="H8"&gt;True&lt;/FreshmanFinancialAidFormFAFSA&gt;</v>
      </c>
    </row>
    <row r="663" spans="4:11" ht="12.75">
      <c r="D663" t="s">
        <v>1641</v>
      </c>
      <c r="E663" s="254" t="str">
        <f>IF(FreshmanFinancialAidFormInstitution&lt;&gt;"","True","False")</f>
        <v>False</v>
      </c>
      <c r="F663"/>
      <c r="G663" s="307" t="s">
        <v>1641</v>
      </c>
      <c r="H663" t="s">
        <v>122</v>
      </c>
      <c r="K663" t="str">
        <f t="shared" si="21"/>
        <v>&lt;FreshmanFinancialAidFormInstitution Question="H8"&gt;False&lt;/FreshmanFinancialAidFormInstitution&gt;</v>
      </c>
    </row>
    <row r="664" spans="4:11" ht="12.75">
      <c r="D664" t="s">
        <v>1642</v>
      </c>
      <c r="E664" s="254" t="str">
        <f>IF(FreshmanFinancialAidFormCSSPROFILE&lt;&gt;"","True","False")</f>
        <v>False</v>
      </c>
      <c r="F664"/>
      <c r="G664" s="307" t="s">
        <v>1642</v>
      </c>
      <c r="H664" t="s">
        <v>122</v>
      </c>
      <c r="K664" t="str">
        <f t="shared" si="21"/>
        <v>&lt;FreshmanFinancialAidFormCSSPROFILE Question="H8"&gt;False&lt;/FreshmanFinancialAidFormCSSPROFILE&gt;</v>
      </c>
    </row>
    <row r="665" spans="4:11" ht="12.75">
      <c r="D665" t="s">
        <v>1643</v>
      </c>
      <c r="E665" s="254" t="str">
        <f>IF(FreshmanFinancialAidFormState&lt;&gt;"","True","False")</f>
        <v>False</v>
      </c>
      <c r="F665"/>
      <c r="G665" s="307" t="s">
        <v>1643</v>
      </c>
      <c r="H665" t="s">
        <v>122</v>
      </c>
      <c r="K665" t="str">
        <f t="shared" si="21"/>
        <v>&lt;FreshmanFinancialAidFormState Question="H8"&gt;False&lt;/FreshmanFinancialAidFormState&gt;</v>
      </c>
    </row>
    <row r="666" spans="4:11" ht="12.75">
      <c r="D666" t="s">
        <v>1644</v>
      </c>
      <c r="E666" s="254" t="str">
        <f>IF(FreshmanFinancialAidFormNoncustodialPROFILE&lt;&gt;"","True","False")</f>
        <v>False</v>
      </c>
      <c r="F666"/>
      <c r="G666" s="307" t="s">
        <v>1644</v>
      </c>
      <c r="H666" t="s">
        <v>122</v>
      </c>
      <c r="K666" t="str">
        <f t="shared" si="21"/>
        <v>&lt;FreshmanFinancialAidFormNoncustodialPROFILE Question="H8"&gt;False&lt;/FreshmanFinancialAidFormNoncustodialPROFILE&gt;</v>
      </c>
    </row>
    <row r="667" spans="4:11" ht="12.75">
      <c r="D667" t="s">
        <v>1645</v>
      </c>
      <c r="E667" s="254" t="str">
        <f>IF(FreshmanFinancialAidFormBusinessSupplement&lt;&gt;"","True","False")</f>
        <v>False</v>
      </c>
      <c r="F667"/>
      <c r="G667" s="307" t="s">
        <v>1645</v>
      </c>
      <c r="H667" t="s">
        <v>122</v>
      </c>
      <c r="K667" t="str">
        <f aca="true" t="shared" si="22" ref="K667:K698">"&lt;"&amp;G667&amp;" Question="""&amp;H667&amp;"""&gt;"&amp;IF(J667=1,"&lt;![CDATA[","")&amp;E667&amp;IF(J667=1,"]]&gt;","")&amp;"&lt;/"&amp;G667&amp;"&gt;"</f>
        <v>&lt;FreshmanFinancialAidFormBusinessSupplement Question="H8"&gt;False&lt;/FreshmanFinancialAidFormBusinessSupplement&gt;</v>
      </c>
    </row>
    <row r="668" spans="4:11" ht="12.75">
      <c r="D668" t="s">
        <v>1646</v>
      </c>
      <c r="E668" s="254">
        <f>IF(FreshmanFinancialAidFormOther&lt;&gt;"",FreshmanFinancialAidFormOther,"")</f>
      </c>
      <c r="F668" t="str">
        <f>"=IF("&amp;D668&amp;"&lt;&gt;"""","&amp;D668&amp;","""")"</f>
        <v>=IF(FreshmanFinancialAidFormOther&lt;&gt;"",FreshmanFinancialAidFormOther,"")</v>
      </c>
      <c r="G668" s="307" t="s">
        <v>1646</v>
      </c>
      <c r="H668" t="s">
        <v>122</v>
      </c>
      <c r="J668">
        <v>1</v>
      </c>
      <c r="K668" t="str">
        <f t="shared" si="22"/>
        <v>&lt;FreshmanFinancialAidFormOther Question="H8"&gt;&lt;![CDATA[]]&gt;&lt;/FreshmanFinancialAidFormOther&gt;</v>
      </c>
    </row>
    <row r="669" spans="4:11" ht="12.75">
      <c r="D669" t="s">
        <v>1647</v>
      </c>
      <c r="E669" s="278" t="str">
        <f>IF(PriorityFilingDate&gt;0,MONTH(PriorityFilingDate)&amp;"/"&amp;DAY(PriorityFilingDate),"-1")</f>
        <v>2/15</v>
      </c>
      <c r="F669" t="str">
        <f>"=IF("&amp;D669&amp;"&gt;0,MONTH("&amp;D669&amp;")&amp;""/""&amp;DAY("&amp;D669&amp;"),""-1"")"</f>
        <v>=IF(PriorityFilingDate&gt;0,MONTH(PriorityFilingDate)&amp;"/"&amp;DAY(PriorityFilingDate),"-1")</v>
      </c>
      <c r="G669" s="314" t="s">
        <v>1647</v>
      </c>
      <c r="H669" t="s">
        <v>123</v>
      </c>
      <c r="K669" t="str">
        <f t="shared" si="22"/>
        <v>&lt;PriorityFilingDate Question="H9"&gt;2/15&lt;/PriorityFilingDate&gt;</v>
      </c>
    </row>
    <row r="670" spans="4:11" ht="12.75">
      <c r="D670" t="s">
        <v>1648</v>
      </c>
      <c r="E670" s="278" t="str">
        <f>IF(DeadlineFilingDate&gt;0,MONTH(DeadlineFilingDate)&amp;"/"&amp;DAY(DeadlineFilingDate),"-1")</f>
        <v>-1</v>
      </c>
      <c r="F670"/>
      <c r="G670" s="314" t="s">
        <v>1648</v>
      </c>
      <c r="H670" t="s">
        <v>123</v>
      </c>
      <c r="K670" t="str">
        <f t="shared" si="22"/>
        <v>&lt;DeadlineFilingDate Question="H9"&gt;-1&lt;/DeadlineFilingDate&gt;</v>
      </c>
    </row>
    <row r="671" spans="4:11" ht="12.75">
      <c r="D671" t="s">
        <v>1649</v>
      </c>
      <c r="E671" s="254" t="str">
        <f>IF(NoFilingDate&lt;&gt;"","True","False")</f>
        <v>False</v>
      </c>
      <c r="F671" t="str">
        <f>"=IF("&amp;D671&amp;"&lt;&gt;"""",""True"",""False"")"</f>
        <v>=IF(NoFilingDate&lt;&gt;"","True","False")</v>
      </c>
      <c r="G671" s="307" t="s">
        <v>1649</v>
      </c>
      <c r="H671" t="s">
        <v>123</v>
      </c>
      <c r="K671" t="str">
        <f t="shared" si="22"/>
        <v>&lt;NoFilingDate Question="H9"&gt;False&lt;/NoFilingDate&gt;</v>
      </c>
    </row>
    <row r="672" spans="4:11" ht="12.75">
      <c r="D672" t="s">
        <v>1650</v>
      </c>
      <c r="E672" s="278" t="str">
        <f>IF(FinancialAidNotificationRegularDate&gt;0,MONTH(FinancialAidNotificationRegularDate)&amp;"/"&amp;DAY(FinancialAidNotificationRegularDate),"-1")</f>
        <v>4/1</v>
      </c>
      <c r="F672" t="str">
        <f>"=IF("&amp;D672&amp;"&gt;0,MONTH("&amp;D672&amp;")&amp;""/""&amp;DAY("&amp;D672&amp;"),""-1"")"</f>
        <v>=IF(FinancialAidNotificationRegularDate&gt;0,MONTH(FinancialAidNotificationRegularDate)&amp;"/"&amp;DAY(FinancialAidNotificationRegularDate),"-1")</v>
      </c>
      <c r="G672" s="314" t="s">
        <v>1650</v>
      </c>
      <c r="H672" t="s">
        <v>124</v>
      </c>
      <c r="K672" t="str">
        <f t="shared" si="22"/>
        <v>&lt;FinancialAidNotificationRegularDate Question="H10"&gt;4/1&lt;/FinancialAidNotificationRegularDate&gt;</v>
      </c>
    </row>
    <row r="673" spans="4:11" ht="12.75">
      <c r="D673" t="s">
        <v>1651</v>
      </c>
      <c r="E673" s="254" t="str">
        <f>IF(RollingNotification1&lt;&gt;"","True",IF(RollingNotification2&lt;&gt;"","False",""))</f>
        <v>True</v>
      </c>
      <c r="F673" t="str">
        <f>"=IF("&amp;D673&amp;"1&lt;&gt;"""",""True"",IF("&amp;D673&amp;"2&lt;&gt;"""",""False"",""""))"</f>
        <v>=IF(RollingNotification1&lt;&gt;"","True",IF(RollingNotification2&lt;&gt;"","False",""))</v>
      </c>
      <c r="G673" s="307" t="s">
        <v>1651</v>
      </c>
      <c r="H673" t="s">
        <v>124</v>
      </c>
      <c r="K673" t="str">
        <f t="shared" si="22"/>
        <v>&lt;RollingNotification Question="H10"&gt;True&lt;/RollingNotification&gt;</v>
      </c>
    </row>
    <row r="674" spans="4:11" ht="12.75">
      <c r="D674" t="s">
        <v>1652</v>
      </c>
      <c r="E674" s="278" t="str">
        <f>IF(FinancialAidNotificationRollingStartDate&gt;0,MONTH(FinancialAidNotificationRollingStartDate)&amp;"/"&amp;DAY(FinancialAidNotificationRollingStartDate),"-1")</f>
        <v>3/15</v>
      </c>
      <c r="F674" t="str">
        <f>"=IF("&amp;D674&amp;"&gt;0,MONTH("&amp;D674&amp;")&amp;""/""&amp;DAY("&amp;D674&amp;"),""-1"")"</f>
        <v>=IF(FinancialAidNotificationRollingStartDate&gt;0,MONTH(FinancialAidNotificationRollingStartDate)&amp;"/"&amp;DAY(FinancialAidNotificationRollingStartDate),"-1")</v>
      </c>
      <c r="G674" s="314" t="s">
        <v>1652</v>
      </c>
      <c r="H674" t="s">
        <v>124</v>
      </c>
      <c r="K674" t="str">
        <f t="shared" si="22"/>
        <v>&lt;FinancialAidNotificationRollingStartDate Question="H10"&gt;3/15&lt;/FinancialAidNotificationRollingStartDate&gt;</v>
      </c>
    </row>
    <row r="675" spans="4:11" ht="12.75">
      <c r="D675" t="s">
        <v>1653</v>
      </c>
      <c r="E675" s="278" t="str">
        <f>IF(FinancialAidStudentReplyByDate&gt;0,MONTH(FinancialAidStudentReplyByDate)&amp;"/"&amp;DAY(FinancialAidStudentReplyByDate),"-1")</f>
        <v>5/1</v>
      </c>
      <c r="F675"/>
      <c r="G675" s="314" t="s">
        <v>1653</v>
      </c>
      <c r="H675" t="s">
        <v>124</v>
      </c>
      <c r="K675" t="str">
        <f t="shared" si="22"/>
        <v>&lt;FinancialAidStudentReplyByDate Question="H10"&gt;5/1&lt;/FinancialAidStudentReplyByDate&gt;</v>
      </c>
    </row>
    <row r="676" spans="4:11" ht="12.75">
      <c r="D676" t="s">
        <v>1654</v>
      </c>
      <c r="E676" s="269">
        <f>IF(FinancialAidStudentReplyByPeriodWeeks&lt;&gt;"",FinancialAidStudentReplyByPeriodWeeks,-1)</f>
        <v>2</v>
      </c>
      <c r="F676"/>
      <c r="G676" s="311" t="s">
        <v>1654</v>
      </c>
      <c r="H676" t="s">
        <v>124</v>
      </c>
      <c r="K676" t="str">
        <f t="shared" si="22"/>
        <v>&lt;FinancialAidStudentReplyByPeriodWeeks Question="H10"&gt;2&lt;/FinancialAidStudentReplyByPeriodWeeks&gt;</v>
      </c>
    </row>
    <row r="677" spans="4:11" ht="12.75">
      <c r="D677" t="s">
        <v>1655</v>
      </c>
      <c r="E677" s="254" t="str">
        <f>IF(AvailableAidLoansDirectSubsidizedStafford&lt;&gt;"","True","False")</f>
        <v>False</v>
      </c>
      <c r="F677" t="str">
        <f>"=IF("&amp;D677&amp;"&lt;&gt;"""",""True"",""False"")"</f>
        <v>=IF(AvailableAidLoansDirectSubsidizedStafford&lt;&gt;"","True","False")</v>
      </c>
      <c r="G677" s="307" t="s">
        <v>1655</v>
      </c>
      <c r="H677" t="s">
        <v>126</v>
      </c>
      <c r="K677" t="str">
        <f t="shared" si="22"/>
        <v>&lt;AvailableAidLoansDirectSubsidizedStafford Question="H12"&gt;False&lt;/AvailableAidLoansDirectSubsidizedStafford&gt;</v>
      </c>
    </row>
    <row r="678" spans="4:11" ht="12.75">
      <c r="D678" t="s">
        <v>1656</v>
      </c>
      <c r="E678" s="254" t="str">
        <f>IF(AvailableAidLoansDirectUnsubsidizedStafford&lt;&gt;"","True","False")</f>
        <v>False</v>
      </c>
      <c r="F678"/>
      <c r="G678" s="307" t="s">
        <v>1656</v>
      </c>
      <c r="H678" t="s">
        <v>126</v>
      </c>
      <c r="K678" t="str">
        <f t="shared" si="22"/>
        <v>&lt;AvailableAidLoansDirectUnsubsidizedStafford Question="H12"&gt;False&lt;/AvailableAidLoansDirectUnsubsidizedStafford&gt;</v>
      </c>
    </row>
    <row r="679" spans="4:11" ht="12.75">
      <c r="D679" t="s">
        <v>1657</v>
      </c>
      <c r="E679" s="254" t="str">
        <f>IF(AvailableAidLoansDirectPLUS&lt;&gt;"","True","False")</f>
        <v>False</v>
      </c>
      <c r="F679"/>
      <c r="G679" s="307" t="s">
        <v>1657</v>
      </c>
      <c r="H679" t="s">
        <v>126</v>
      </c>
      <c r="K679" t="str">
        <f t="shared" si="22"/>
        <v>&lt;AvailableAidLoansDirectPLUS Question="H12"&gt;False&lt;/AvailableAidLoansDirectPLUS&gt;</v>
      </c>
    </row>
    <row r="680" spans="4:11" ht="12.75">
      <c r="D680" t="s">
        <v>1658</v>
      </c>
      <c r="E680" s="254" t="str">
        <f>IF(AvailableAidLoansFFELSubsidizedStafford&lt;&gt;"","True","False")</f>
        <v>True</v>
      </c>
      <c r="F680"/>
      <c r="G680" s="307" t="s">
        <v>1658</v>
      </c>
      <c r="H680" t="s">
        <v>126</v>
      </c>
      <c r="K680" t="str">
        <f t="shared" si="22"/>
        <v>&lt;AvailableAidLoansFFELSubsidizedStafford Question="H12"&gt;True&lt;/AvailableAidLoansFFELSubsidizedStafford&gt;</v>
      </c>
    </row>
    <row r="681" spans="4:11" ht="12.75">
      <c r="D681" t="s">
        <v>1659</v>
      </c>
      <c r="E681" s="254" t="str">
        <f>IF(AvailableAidLoansFFELUnsubsidizedStafford&lt;&gt;"","True","False")</f>
        <v>True</v>
      </c>
      <c r="F681"/>
      <c r="G681" s="307" t="s">
        <v>1659</v>
      </c>
      <c r="H681" t="s">
        <v>126</v>
      </c>
      <c r="K681" t="str">
        <f t="shared" si="22"/>
        <v>&lt;AvailableAidLoansFFELUnsubsidizedStafford Question="H12"&gt;True&lt;/AvailableAidLoansFFELUnsubsidizedStafford&gt;</v>
      </c>
    </row>
    <row r="682" spans="4:11" ht="12.75">
      <c r="D682" t="s">
        <v>1660</v>
      </c>
      <c r="E682" s="254" t="str">
        <f>IF(AvailableAidLoansFFELPLUS&lt;&gt;"","True","False")</f>
        <v>True</v>
      </c>
      <c r="F682"/>
      <c r="G682" s="307" t="s">
        <v>1660</v>
      </c>
      <c r="H682" t="s">
        <v>126</v>
      </c>
      <c r="K682" t="str">
        <f t="shared" si="22"/>
        <v>&lt;AvailableAidLoansFFELPLUS Question="H12"&gt;True&lt;/AvailableAidLoansFFELPLUS&gt;</v>
      </c>
    </row>
    <row r="683" spans="4:11" ht="12.75">
      <c r="D683" t="s">
        <v>1661</v>
      </c>
      <c r="E683" s="254" t="str">
        <f>IF(AvailableAidLoansPerkins&lt;&gt;"","True","False")</f>
        <v>True</v>
      </c>
      <c r="F683"/>
      <c r="G683" s="307" t="s">
        <v>1661</v>
      </c>
      <c r="H683" t="s">
        <v>126</v>
      </c>
      <c r="K683" t="str">
        <f t="shared" si="22"/>
        <v>&lt;AvailableAidLoansPerkins Question="H12"&gt;True&lt;/AvailableAidLoansPerkins&gt;</v>
      </c>
    </row>
    <row r="684" spans="4:11" ht="12.75">
      <c r="D684" t="s">
        <v>1662</v>
      </c>
      <c r="E684" s="254" t="str">
        <f>IF(AvailableAidLoansFederalNursing&lt;&gt;"","True","False")</f>
        <v>False</v>
      </c>
      <c r="F684"/>
      <c r="G684" s="307" t="s">
        <v>1662</v>
      </c>
      <c r="H684" t="s">
        <v>126</v>
      </c>
      <c r="K684" t="str">
        <f t="shared" si="22"/>
        <v>&lt;AvailableAidLoansFederalNursing Question="H12"&gt;False&lt;/AvailableAidLoansFederalNursing&gt;</v>
      </c>
    </row>
    <row r="685" spans="4:11" ht="12.75">
      <c r="D685" t="s">
        <v>1663</v>
      </c>
      <c r="E685" s="254" t="str">
        <f>IF(AvailableAidLoansState&lt;&gt;"","True","False")</f>
        <v>False</v>
      </c>
      <c r="F685"/>
      <c r="G685" s="307" t="s">
        <v>1663</v>
      </c>
      <c r="H685" t="s">
        <v>126</v>
      </c>
      <c r="K685" t="str">
        <f t="shared" si="22"/>
        <v>&lt;AvailableAidLoansState Question="H12"&gt;False&lt;/AvailableAidLoansState&gt;</v>
      </c>
    </row>
    <row r="686" spans="4:11" ht="12.75">
      <c r="D686" t="s">
        <v>1664</v>
      </c>
      <c r="E686" s="254" t="str">
        <f>IF(AvailableAidLoansInstitutional&lt;&gt;"","True","False")</f>
        <v>False</v>
      </c>
      <c r="F686"/>
      <c r="G686" s="307" t="s">
        <v>1664</v>
      </c>
      <c r="H686" t="s">
        <v>126</v>
      </c>
      <c r="K686" t="str">
        <f t="shared" si="22"/>
        <v>&lt;AvailableAidLoansInstitutional Question="H12"&gt;False&lt;/AvailableAidLoansInstitutional&gt;</v>
      </c>
    </row>
    <row r="687" spans="4:11" ht="12.75">
      <c r="D687" t="s">
        <v>1665</v>
      </c>
      <c r="E687" s="254">
        <f>IF(AvailableAidLoansOther&lt;&gt;"",AvailableAidLoansOther,"")</f>
      </c>
      <c r="F687" t="str">
        <f>"=IF("&amp;D687&amp;"&lt;&gt;"""","&amp;D687&amp;","""")"</f>
        <v>=IF(AvailableAidLoansOther&lt;&gt;"",AvailableAidLoansOther,"")</v>
      </c>
      <c r="G687" s="307" t="s">
        <v>1665</v>
      </c>
      <c r="H687" t="s">
        <v>126</v>
      </c>
      <c r="J687">
        <v>1</v>
      </c>
      <c r="K687" t="str">
        <f t="shared" si="22"/>
        <v>&lt;AvailableAidLoansOther Question="H12"&gt;&lt;![CDATA[]]&gt;&lt;/AvailableAidLoansOther&gt;</v>
      </c>
    </row>
    <row r="688" spans="4:11" ht="12.75">
      <c r="D688" t="s">
        <v>1666</v>
      </c>
      <c r="E688" s="254" t="str">
        <f>IF(AvailableAidGrantsPell&lt;&gt;"","True","False")</f>
        <v>True</v>
      </c>
      <c r="F688" t="str">
        <f>"=IF("&amp;D688&amp;"&lt;&gt;"""",""True"",""False"")"</f>
        <v>=IF(AvailableAidGrantsPell&lt;&gt;"","True","False")</v>
      </c>
      <c r="G688" s="307" t="s">
        <v>1666</v>
      </c>
      <c r="H688" t="s">
        <v>127</v>
      </c>
      <c r="K688" t="str">
        <f t="shared" si="22"/>
        <v>&lt;AvailableAidGrantsPell Question="H13"&gt;True&lt;/AvailableAidGrantsPell&gt;</v>
      </c>
    </row>
    <row r="689" spans="4:11" ht="12.75">
      <c r="D689" t="s">
        <v>1667</v>
      </c>
      <c r="E689" s="254" t="str">
        <f>IF(AvailableAidGrantsSEOG&lt;&gt;"","True","False")</f>
        <v>True</v>
      </c>
      <c r="F689"/>
      <c r="G689" s="307" t="s">
        <v>1667</v>
      </c>
      <c r="H689" t="s">
        <v>127</v>
      </c>
      <c r="K689" t="str">
        <f t="shared" si="22"/>
        <v>&lt;AvailableAidGrantsSEOG Question="H13"&gt;True&lt;/AvailableAidGrantsSEOG&gt;</v>
      </c>
    </row>
    <row r="690" spans="4:11" ht="12.75">
      <c r="D690" t="s">
        <v>750</v>
      </c>
      <c r="E690" s="254" t="str">
        <f>IF(AvailableAidGrantsState&lt;&gt;"","True","False")</f>
        <v>True</v>
      </c>
      <c r="F690"/>
      <c r="G690" s="307" t="s">
        <v>750</v>
      </c>
      <c r="H690" t="s">
        <v>127</v>
      </c>
      <c r="K690" t="str">
        <f t="shared" si="22"/>
        <v>&lt;AvailableAidGrantsState Question="H13"&gt;True&lt;/AvailableAidGrantsState&gt;</v>
      </c>
    </row>
    <row r="691" spans="4:11" ht="12.75">
      <c r="D691" t="s">
        <v>751</v>
      </c>
      <c r="E691" s="254" t="str">
        <f>IF(AvailableAidGrantsPrivate&lt;&gt;"","True","False")</f>
        <v>True</v>
      </c>
      <c r="F691"/>
      <c r="G691" s="307" t="s">
        <v>751</v>
      </c>
      <c r="H691" t="s">
        <v>127</v>
      </c>
      <c r="K691" t="str">
        <f t="shared" si="22"/>
        <v>&lt;AvailableAidGrantsPrivate Question="H13"&gt;True&lt;/AvailableAidGrantsPrivate&gt;</v>
      </c>
    </row>
    <row r="692" spans="4:11" ht="12.75">
      <c r="D692" t="s">
        <v>752</v>
      </c>
      <c r="E692" s="254" t="str">
        <f>IF(AvailableAidGrantsInstitutional&lt;&gt;"","True","False")</f>
        <v>True</v>
      </c>
      <c r="F692"/>
      <c r="G692" s="307" t="s">
        <v>752</v>
      </c>
      <c r="H692" t="s">
        <v>127</v>
      </c>
      <c r="K692" t="str">
        <f t="shared" si="22"/>
        <v>&lt;AvailableAidGrantsInstitutional Question="H13"&gt;True&lt;/AvailableAidGrantsInstitutional&gt;</v>
      </c>
    </row>
    <row r="693" spans="4:11" ht="12.75">
      <c r="D693" t="s">
        <v>753</v>
      </c>
      <c r="E693" s="254" t="str">
        <f>IF(AvailableAidGrantsUNCF&lt;&gt;"","True","False")</f>
        <v>False</v>
      </c>
      <c r="F693"/>
      <c r="G693" s="307" t="s">
        <v>753</v>
      </c>
      <c r="H693" t="s">
        <v>127</v>
      </c>
      <c r="K693" t="str">
        <f t="shared" si="22"/>
        <v>&lt;AvailableAidGrantsUNCF Question="H13"&gt;False&lt;/AvailableAidGrantsUNCF&gt;</v>
      </c>
    </row>
    <row r="694" spans="4:11" ht="12.75">
      <c r="D694" t="s">
        <v>754</v>
      </c>
      <c r="E694" s="254" t="str">
        <f>IF(AvailableAidGrantsFederalNursing&lt;&gt;"","True","False")</f>
        <v>False</v>
      </c>
      <c r="F694"/>
      <c r="G694" s="307" t="s">
        <v>754</v>
      </c>
      <c r="H694" t="s">
        <v>127</v>
      </c>
      <c r="K694" t="str">
        <f t="shared" si="22"/>
        <v>&lt;AvailableAidGrantsFederalNursing Question="H13"&gt;False&lt;/AvailableAidGrantsFederalNursing&gt;</v>
      </c>
    </row>
    <row r="695" spans="4:11" ht="12.75">
      <c r="D695" t="s">
        <v>755</v>
      </c>
      <c r="E695" s="254">
        <f>IF(AvailableAidGrantsOther&lt;&gt;"",AvailableAidGrantsOther,"")</f>
      </c>
      <c r="F695" t="str">
        <f>"=IF("&amp;D695&amp;"&lt;&gt;"""","&amp;D695&amp;","""")"</f>
        <v>=IF(AvailableAidGrantsOther&lt;&gt;"",AvailableAidGrantsOther,"")</v>
      </c>
      <c r="G695" t="s">
        <v>755</v>
      </c>
      <c r="H695" t="s">
        <v>127</v>
      </c>
      <c r="J695">
        <v>1</v>
      </c>
      <c r="K695" t="str">
        <f t="shared" si="22"/>
        <v>&lt;AvailableAidGrantsOther Question="H13"&gt;&lt;![CDATA[]]&gt;&lt;/AvailableAidGrantsOther&gt;</v>
      </c>
    </row>
    <row r="696" spans="4:11" ht="12.75">
      <c r="D696" t="s">
        <v>756</v>
      </c>
      <c r="E696" s="254" t="str">
        <f>IF(AidCriteriaNonNeedBasedAcademics&lt;&gt;"","True","False")</f>
        <v>True</v>
      </c>
      <c r="F696" t="str">
        <f>"=IF("&amp;D696&amp;"&lt;&gt;"""",""True"",""False"")"</f>
        <v>=IF(AidCriteriaNonNeedBasedAcademics&lt;&gt;"","True","False")</v>
      </c>
      <c r="G696" s="307" t="s">
        <v>756</v>
      </c>
      <c r="H696" t="s">
        <v>128</v>
      </c>
      <c r="K696" t="str">
        <f t="shared" si="22"/>
        <v>&lt;AidCriteriaNonNeedBasedAcademics Question="H14"&gt;True&lt;/AidCriteriaNonNeedBasedAcademics&gt;</v>
      </c>
    </row>
    <row r="697" spans="4:11" ht="12.75">
      <c r="D697" t="s">
        <v>757</v>
      </c>
      <c r="E697" s="254" t="str">
        <f>IF(AidCriteriaNeedBasedAcademics&lt;&gt;"","True","False")</f>
        <v>False</v>
      </c>
      <c r="F697"/>
      <c r="G697" s="307" t="s">
        <v>757</v>
      </c>
      <c r="H697" t="s">
        <v>128</v>
      </c>
      <c r="K697" t="str">
        <f t="shared" si="22"/>
        <v>&lt;AidCriteriaNeedBasedAcademics Question="H14"&gt;False&lt;/AidCriteriaNeedBasedAcademics&gt;</v>
      </c>
    </row>
    <row r="698" spans="4:11" ht="12.75">
      <c r="D698" t="s">
        <v>758</v>
      </c>
      <c r="E698" s="254" t="str">
        <f>IF(AidCriteriaNonNeedBasedAlumni&lt;&gt;"","True","False")</f>
        <v>False</v>
      </c>
      <c r="F698"/>
      <c r="G698" s="307" t="s">
        <v>758</v>
      </c>
      <c r="H698" t="s">
        <v>128</v>
      </c>
      <c r="K698" t="str">
        <f t="shared" si="22"/>
        <v>&lt;AidCriteriaNonNeedBasedAlumni Question="H14"&gt;False&lt;/AidCriteriaNonNeedBasedAlumni&gt;</v>
      </c>
    </row>
    <row r="699" spans="4:11" ht="12.75">
      <c r="D699" t="s">
        <v>759</v>
      </c>
      <c r="E699" s="254" t="str">
        <f>IF(AidCriteriaNeedBasedAlumni&lt;&gt;"","True","False")</f>
        <v>False</v>
      </c>
      <c r="F699"/>
      <c r="G699" s="307" t="s">
        <v>759</v>
      </c>
      <c r="H699" t="s">
        <v>128</v>
      </c>
      <c r="K699" t="str">
        <f aca="true" t="shared" si="23" ref="K699:K716">"&lt;"&amp;G699&amp;" Question="""&amp;H699&amp;"""&gt;"&amp;IF(J699=1,"&lt;![CDATA[","")&amp;E699&amp;IF(J699=1,"]]&gt;","")&amp;"&lt;/"&amp;G699&amp;"&gt;"</f>
        <v>&lt;AidCriteriaNeedBasedAlumni Question="H14"&gt;False&lt;/AidCriteriaNeedBasedAlumni&gt;</v>
      </c>
    </row>
    <row r="700" spans="4:11" ht="12.75">
      <c r="D700" t="s">
        <v>760</v>
      </c>
      <c r="E700" s="254" t="str">
        <f>IF(AidCriteriaNonNeedBasedArt&lt;&gt;"","True","False")</f>
        <v>False</v>
      </c>
      <c r="F700"/>
      <c r="G700" s="307" t="s">
        <v>760</v>
      </c>
      <c r="H700" t="s">
        <v>128</v>
      </c>
      <c r="K700" t="str">
        <f t="shared" si="23"/>
        <v>&lt;AidCriteriaNonNeedBasedArt Question="H14"&gt;False&lt;/AidCriteriaNonNeedBasedArt&gt;</v>
      </c>
    </row>
    <row r="701" spans="4:11" ht="12.75">
      <c r="D701" t="s">
        <v>761</v>
      </c>
      <c r="E701" s="254" t="str">
        <f>IF(AidCriteriaNeedBasedArt&lt;&gt;"","True","False")</f>
        <v>False</v>
      </c>
      <c r="F701"/>
      <c r="G701" s="307" t="s">
        <v>761</v>
      </c>
      <c r="H701" t="s">
        <v>128</v>
      </c>
      <c r="K701" t="str">
        <f t="shared" si="23"/>
        <v>&lt;AidCriteriaNeedBasedArt Question="H14"&gt;False&lt;/AidCriteriaNeedBasedArt&gt;</v>
      </c>
    </row>
    <row r="702" spans="4:11" ht="12.75">
      <c r="D702" t="s">
        <v>762</v>
      </c>
      <c r="E702" s="254" t="str">
        <f>IF(AidCriteriaNonNeedBasedAthletics&lt;&gt;"","True","False")</f>
        <v>True</v>
      </c>
      <c r="F702"/>
      <c r="G702" s="307" t="s">
        <v>762</v>
      </c>
      <c r="H702" t="s">
        <v>128</v>
      </c>
      <c r="K702" t="str">
        <f t="shared" si="23"/>
        <v>&lt;AidCriteriaNonNeedBasedAthletics Question="H14"&gt;True&lt;/AidCriteriaNonNeedBasedAthletics&gt;</v>
      </c>
    </row>
    <row r="703" spans="4:11" ht="12.75">
      <c r="D703" t="s">
        <v>763</v>
      </c>
      <c r="E703" s="254" t="str">
        <f>IF(AidCriteriaNeedBasedAthletics&lt;&gt;"","True","False")</f>
        <v>False</v>
      </c>
      <c r="F703"/>
      <c r="G703" s="307" t="s">
        <v>763</v>
      </c>
      <c r="H703" t="s">
        <v>128</v>
      </c>
      <c r="K703" t="str">
        <f t="shared" si="23"/>
        <v>&lt;AidCriteriaNeedBasedAthletics Question="H14"&gt;False&lt;/AidCriteriaNeedBasedAthletics&gt;</v>
      </c>
    </row>
    <row r="704" spans="4:11" ht="12.75">
      <c r="D704" t="s">
        <v>460</v>
      </c>
      <c r="E704" s="254" t="str">
        <f>IF(AidCriteriaNonNeedBasedJobSkills&lt;&gt;"","True","False")</f>
        <v>False</v>
      </c>
      <c r="F704"/>
      <c r="G704" s="307" t="s">
        <v>460</v>
      </c>
      <c r="H704" t="s">
        <v>128</v>
      </c>
      <c r="K704" t="str">
        <f t="shared" si="23"/>
        <v>&lt;AidCriteriaNonNeedBasedJobSkills Question="H14"&gt;False&lt;/AidCriteriaNonNeedBasedJobSkills&gt;</v>
      </c>
    </row>
    <row r="705" spans="4:11" ht="12.75">
      <c r="D705" t="s">
        <v>461</v>
      </c>
      <c r="E705" s="254" t="str">
        <f>IF(AidCriteriaNeedBasedJobSkills&lt;&gt;"","True","False")</f>
        <v>False</v>
      </c>
      <c r="F705"/>
      <c r="G705" s="307" t="s">
        <v>461</v>
      </c>
      <c r="H705" t="s">
        <v>128</v>
      </c>
      <c r="K705" t="str">
        <f t="shared" si="23"/>
        <v>&lt;AidCriteriaNeedBasedJobSkills Question="H14"&gt;False&lt;/AidCriteriaNeedBasedJobSkills&gt;</v>
      </c>
    </row>
    <row r="706" spans="4:11" ht="12.75">
      <c r="D706" t="s">
        <v>462</v>
      </c>
      <c r="E706" s="254" t="str">
        <f>IF(AidCriteriaNonNeedBasedROTC&lt;&gt;"","True","False")</f>
        <v>True</v>
      </c>
      <c r="F706"/>
      <c r="G706" s="307" t="s">
        <v>462</v>
      </c>
      <c r="H706" t="s">
        <v>128</v>
      </c>
      <c r="K706" t="str">
        <f t="shared" si="23"/>
        <v>&lt;AidCriteriaNonNeedBasedROTC Question="H14"&gt;True&lt;/AidCriteriaNonNeedBasedROTC&gt;</v>
      </c>
    </row>
    <row r="707" spans="4:11" ht="12.75">
      <c r="D707" t="s">
        <v>463</v>
      </c>
      <c r="E707" s="254" t="str">
        <f>IF(AidCriteriaNonNeedBasedLeadership&lt;&gt;"","True","False")</f>
        <v>True</v>
      </c>
      <c r="F707"/>
      <c r="G707" s="307" t="s">
        <v>463</v>
      </c>
      <c r="H707" t="s">
        <v>128</v>
      </c>
      <c r="K707" t="str">
        <f t="shared" si="23"/>
        <v>&lt;AidCriteriaNonNeedBasedLeadership Question="H14"&gt;True&lt;/AidCriteriaNonNeedBasedLeadership&gt;</v>
      </c>
    </row>
    <row r="708" spans="4:11" ht="12.75">
      <c r="D708" t="s">
        <v>464</v>
      </c>
      <c r="E708" s="254" t="str">
        <f>IF(AidCriteriaNeedBasedLeadership&lt;&gt;"","True","False")</f>
        <v>False</v>
      </c>
      <c r="F708"/>
      <c r="G708" s="307" t="s">
        <v>464</v>
      </c>
      <c r="H708" t="s">
        <v>128</v>
      </c>
      <c r="K708" t="str">
        <f t="shared" si="23"/>
        <v>&lt;AidCriteriaNeedBasedLeadership Question="H14"&gt;False&lt;/AidCriteriaNeedBasedLeadership&gt;</v>
      </c>
    </row>
    <row r="709" spans="4:11" ht="12.75">
      <c r="D709" t="s">
        <v>465</v>
      </c>
      <c r="E709" s="254" t="str">
        <f>IF(AidCriteriaNonNeedBasedMinorityStatus&lt;&gt;"","True","False")</f>
        <v>False</v>
      </c>
      <c r="F709"/>
      <c r="G709" s="307" t="s">
        <v>465</v>
      </c>
      <c r="H709" t="s">
        <v>128</v>
      </c>
      <c r="K709" t="str">
        <f t="shared" si="23"/>
        <v>&lt;AidCriteriaNonNeedBasedMinorityStatus Question="H14"&gt;False&lt;/AidCriteriaNonNeedBasedMinorityStatus&gt;</v>
      </c>
    </row>
    <row r="710" spans="4:11" ht="12.75">
      <c r="D710" t="s">
        <v>466</v>
      </c>
      <c r="E710" s="254" t="str">
        <f>IF(AidCriteriaNeedBasedMinorityStatus&lt;&gt;"","True","False")</f>
        <v>False</v>
      </c>
      <c r="F710"/>
      <c r="G710" s="307" t="s">
        <v>466</v>
      </c>
      <c r="H710" t="s">
        <v>128</v>
      </c>
      <c r="K710" t="str">
        <f t="shared" si="23"/>
        <v>&lt;AidCriteriaNeedBasedMinorityStatus Question="H14"&gt;False&lt;/AidCriteriaNeedBasedMinorityStatus&gt;</v>
      </c>
    </row>
    <row r="711" spans="4:11" ht="12.75">
      <c r="D711" t="s">
        <v>467</v>
      </c>
      <c r="E711" s="254" t="str">
        <f>IF(AidCriteriaNonNeedBasedDrama&lt;&gt;"","True","False")</f>
        <v>False</v>
      </c>
      <c r="F711"/>
      <c r="G711" s="307" t="s">
        <v>467</v>
      </c>
      <c r="H711" t="s">
        <v>128</v>
      </c>
      <c r="K711" t="str">
        <f t="shared" si="23"/>
        <v>&lt;AidCriteriaNonNeedBasedDrama Question="H14"&gt;False&lt;/AidCriteriaNonNeedBasedDrama&gt;</v>
      </c>
    </row>
    <row r="712" spans="4:11" ht="12.75">
      <c r="D712" t="s">
        <v>468</v>
      </c>
      <c r="E712" s="254" t="str">
        <f>IF(AidCriteriaNeedBasedDrama&lt;&gt;"","True","False")</f>
        <v>False</v>
      </c>
      <c r="F712"/>
      <c r="G712" s="307" t="s">
        <v>468</v>
      </c>
      <c r="H712" t="s">
        <v>128</v>
      </c>
      <c r="K712" t="str">
        <f t="shared" si="23"/>
        <v>&lt;AidCriteriaNeedBasedDrama Question="H14"&gt;False&lt;/AidCriteriaNeedBasedDrama&gt;</v>
      </c>
    </row>
    <row r="713" spans="4:11" ht="12.75">
      <c r="D713" t="s">
        <v>469</v>
      </c>
      <c r="E713" s="254" t="str">
        <f>IF(AidCriteriaNonNeedBasedReligion&lt;&gt;"","True","False")</f>
        <v>False</v>
      </c>
      <c r="F713"/>
      <c r="G713" s="307" t="s">
        <v>469</v>
      </c>
      <c r="H713" t="s">
        <v>128</v>
      </c>
      <c r="K713" t="str">
        <f t="shared" si="23"/>
        <v>&lt;AidCriteriaNonNeedBasedReligion Question="H14"&gt;False&lt;/AidCriteriaNonNeedBasedReligion&gt;</v>
      </c>
    </row>
    <row r="714" spans="4:11" ht="12.75">
      <c r="D714" t="s">
        <v>470</v>
      </c>
      <c r="E714" s="254" t="str">
        <f>IF(AidCriteriaNeedBasedReligion&lt;&gt;"","True","False")</f>
        <v>False</v>
      </c>
      <c r="F714"/>
      <c r="G714" s="307" t="s">
        <v>470</v>
      </c>
      <c r="H714" t="s">
        <v>128</v>
      </c>
      <c r="K714" t="str">
        <f t="shared" si="23"/>
        <v>&lt;AidCriteriaNeedBasedReligion Question="H14"&gt;False&lt;/AidCriteriaNeedBasedReligion&gt;</v>
      </c>
    </row>
    <row r="715" spans="4:11" ht="12.75">
      <c r="D715" t="s">
        <v>471</v>
      </c>
      <c r="E715" s="254" t="str">
        <f>IF(AidCriteriaNonNeedBasedResidency&lt;&gt;"","True","False")</f>
        <v>False</v>
      </c>
      <c r="F715"/>
      <c r="G715" s="307" t="s">
        <v>471</v>
      </c>
      <c r="H715" t="s">
        <v>128</v>
      </c>
      <c r="K715" t="str">
        <f t="shared" si="23"/>
        <v>&lt;AidCriteriaNonNeedBasedResidency Question="H14"&gt;False&lt;/AidCriteriaNonNeedBasedResidency&gt;</v>
      </c>
    </row>
    <row r="716" spans="4:11" ht="12.75">
      <c r="D716" t="s">
        <v>472</v>
      </c>
      <c r="E716" s="254" t="str">
        <f>IF(AidCriteriaNeedBasedResidency&lt;&gt;"","True","False")</f>
        <v>True</v>
      </c>
      <c r="F716"/>
      <c r="G716" s="307" t="s">
        <v>472</v>
      </c>
      <c r="H716" t="s">
        <v>128</v>
      </c>
      <c r="K716" t="str">
        <f t="shared" si="23"/>
        <v>&lt;AidCriteriaNeedBasedResidency Question="H14"&gt;True&lt;/AidCriteriaNeedBasedResidency&gt;</v>
      </c>
    </row>
    <row r="717" spans="5:11" ht="12.75">
      <c r="E717" s="255"/>
      <c r="F717"/>
      <c r="G717" s="308"/>
      <c r="K717" t="s">
        <v>325</v>
      </c>
    </row>
    <row r="718" spans="2:11" ht="12.75">
      <c r="B718" t="s">
        <v>473</v>
      </c>
      <c r="F718"/>
      <c r="K718" t="s">
        <v>329</v>
      </c>
    </row>
    <row r="719" spans="4:11" ht="12.75">
      <c r="D719" t="s">
        <v>474</v>
      </c>
      <c r="E719" s="269">
        <f>IF(FacultyTotalFullTime&lt;&gt;"",FacultyTotalFullTime,-1)</f>
        <v>619</v>
      </c>
      <c r="F719" t="str">
        <f>"=IF("&amp;D719&amp;"&lt;&gt;"""","&amp;D719&amp;",-1)"</f>
        <v>=IF(FacultyTotalFullTime&lt;&gt;"",FacultyTotalFullTime,-1)</v>
      </c>
      <c r="G719" s="311" t="s">
        <v>474</v>
      </c>
      <c r="H719" t="s">
        <v>1345</v>
      </c>
      <c r="K719" t="str">
        <f aca="true" t="shared" si="24" ref="K719:K750">"&lt;"&amp;G719&amp;" Question="""&amp;H719&amp;"""&gt;"&amp;IF(J719=1,"&lt;![CDATA[","")&amp;E719&amp;IF(J719=1,"]]&gt;","")&amp;"&lt;/"&amp;G719&amp;"&gt;"</f>
        <v>&lt;FacultyTotalFullTime Question="I1"&gt;619&lt;/FacultyTotalFullTime&gt;</v>
      </c>
    </row>
    <row r="720" spans="4:11" ht="12.75">
      <c r="D720" t="s">
        <v>476</v>
      </c>
      <c r="E720" s="269">
        <f>IF(FacultyTotalPartTime&lt;&gt;"",FacultyTotalPartTime,-1)</f>
        <v>178</v>
      </c>
      <c r="F720"/>
      <c r="G720" s="311" t="s">
        <v>476</v>
      </c>
      <c r="H720" t="s">
        <v>1345</v>
      </c>
      <c r="K720" t="str">
        <f t="shared" si="24"/>
        <v>&lt;FacultyTotalPartTime Question="I1"&gt;178&lt;/FacultyTotalPartTime&gt;</v>
      </c>
    </row>
    <row r="721" spans="4:11" ht="12.75">
      <c r="D721" t="s">
        <v>475</v>
      </c>
      <c r="E721" s="269">
        <f>IF(FacultyTotal&lt;&gt;"",FacultyTotal,-1)</f>
        <v>797</v>
      </c>
      <c r="F721"/>
      <c r="G721" s="311" t="s">
        <v>475</v>
      </c>
      <c r="H721" t="s">
        <v>1345</v>
      </c>
      <c r="K721" t="str">
        <f t="shared" si="24"/>
        <v>&lt;FacultyTotal Question="I1"&gt;797&lt;/FacultyTotal&gt;</v>
      </c>
    </row>
    <row r="722" spans="4:11" ht="12.75">
      <c r="D722" t="s">
        <v>477</v>
      </c>
      <c r="E722" s="269">
        <f>IF(FacultyMinorityFullTime&lt;&gt;"",FacultyMinorityFullTime,-1)</f>
        <v>60</v>
      </c>
      <c r="F722"/>
      <c r="G722" s="311" t="s">
        <v>477</v>
      </c>
      <c r="H722" t="s">
        <v>1345</v>
      </c>
      <c r="K722" t="str">
        <f t="shared" si="24"/>
        <v>&lt;FacultyMinorityFullTime Question="I1"&gt;60&lt;/FacultyMinorityFullTime&gt;</v>
      </c>
    </row>
    <row r="723" spans="4:11" ht="12.75">
      <c r="D723" t="s">
        <v>478</v>
      </c>
      <c r="E723" s="269">
        <f>IF(FacultyMinorityPartTime&lt;&gt;"",FacultyMinorityPartTime,-1)</f>
        <v>12</v>
      </c>
      <c r="F723"/>
      <c r="G723" s="311" t="s">
        <v>478</v>
      </c>
      <c r="H723" t="s">
        <v>1345</v>
      </c>
      <c r="K723" t="str">
        <f t="shared" si="24"/>
        <v>&lt;FacultyMinorityPartTime Question="I1"&gt;12&lt;/FacultyMinorityPartTime&gt;</v>
      </c>
    </row>
    <row r="724" spans="4:11" ht="12.75">
      <c r="D724" t="s">
        <v>479</v>
      </c>
      <c r="E724" s="269">
        <f>IF(FacultyMinorityTotal&lt;&gt;"",FacultyMinorityTotal,-1)</f>
        <v>72</v>
      </c>
      <c r="F724"/>
      <c r="G724" s="311" t="s">
        <v>479</v>
      </c>
      <c r="H724" t="s">
        <v>1345</v>
      </c>
      <c r="K724" t="str">
        <f t="shared" si="24"/>
        <v>&lt;FacultyMinorityTotal Question="I1"&gt;72&lt;/FacultyMinorityTotal&gt;</v>
      </c>
    </row>
    <row r="725" spans="4:11" ht="12.75">
      <c r="D725" t="s">
        <v>480</v>
      </c>
      <c r="E725" s="269">
        <f>IF(FacultyFemaleFullTime&lt;&gt;"",FacultyFemaleFullTime,-1)</f>
        <v>230</v>
      </c>
      <c r="F725"/>
      <c r="G725" s="311" t="s">
        <v>480</v>
      </c>
      <c r="H725" t="s">
        <v>1345</v>
      </c>
      <c r="K725" t="str">
        <f t="shared" si="24"/>
        <v>&lt;FacultyFemaleFullTime Question="I1"&gt;230&lt;/FacultyFemaleFullTime&gt;</v>
      </c>
    </row>
    <row r="726" spans="4:11" ht="12.75">
      <c r="D726" t="s">
        <v>481</v>
      </c>
      <c r="E726" s="269">
        <f>IF(FacultyFemalePartTime&lt;&gt;"",FacultyFemalePartTime,-1)</f>
        <v>74</v>
      </c>
      <c r="F726"/>
      <c r="G726" s="311" t="s">
        <v>481</v>
      </c>
      <c r="H726" t="s">
        <v>1345</v>
      </c>
      <c r="K726" t="str">
        <f t="shared" si="24"/>
        <v>&lt;FacultyFemalePartTime Question="I1"&gt;74&lt;/FacultyFemalePartTime&gt;</v>
      </c>
    </row>
    <row r="727" spans="4:11" ht="12.75">
      <c r="D727" t="s">
        <v>482</v>
      </c>
      <c r="E727" s="269">
        <f>IF(FacultyFemaleTotal&lt;&gt;"",FacultyFemaleTotal,-1)</f>
        <v>304</v>
      </c>
      <c r="F727"/>
      <c r="G727" s="311" t="s">
        <v>482</v>
      </c>
      <c r="H727" t="s">
        <v>1345</v>
      </c>
      <c r="K727" t="str">
        <f t="shared" si="24"/>
        <v>&lt;FacultyFemaleTotal Question="I1"&gt;304&lt;/FacultyFemaleTotal&gt;</v>
      </c>
    </row>
    <row r="728" spans="4:11" ht="12.75">
      <c r="D728" t="s">
        <v>483</v>
      </c>
      <c r="E728" s="269">
        <f>IF(FacultyMaleFullTime&lt;&gt;"",FacultyMaleFullTime,-1)</f>
        <v>389</v>
      </c>
      <c r="F728"/>
      <c r="G728" s="311" t="s">
        <v>483</v>
      </c>
      <c r="H728" t="s">
        <v>1345</v>
      </c>
      <c r="K728" t="str">
        <f t="shared" si="24"/>
        <v>&lt;FacultyMaleFullTime Question="I1"&gt;389&lt;/FacultyMaleFullTime&gt;</v>
      </c>
    </row>
    <row r="729" spans="4:11" ht="12.75">
      <c r="D729" t="s">
        <v>484</v>
      </c>
      <c r="E729" s="269">
        <f>IF(FacultyMalePartTime&lt;&gt;"",FacultyMalePartTime,-1)</f>
        <v>104</v>
      </c>
      <c r="F729"/>
      <c r="G729" s="311" t="s">
        <v>484</v>
      </c>
      <c r="H729" t="s">
        <v>1345</v>
      </c>
      <c r="K729" t="str">
        <f t="shared" si="24"/>
        <v>&lt;FacultyMalePartTime Question="I1"&gt;104&lt;/FacultyMalePartTime&gt;</v>
      </c>
    </row>
    <row r="730" spans="4:11" ht="12.75">
      <c r="D730" t="s">
        <v>485</v>
      </c>
      <c r="E730" s="269">
        <f>IF(FacultyMaleTotal&lt;&gt;"",FacultyMaleTotal,-1)</f>
        <v>493</v>
      </c>
      <c r="F730"/>
      <c r="G730" s="311" t="s">
        <v>485</v>
      </c>
      <c r="H730" t="s">
        <v>1345</v>
      </c>
      <c r="K730" t="str">
        <f t="shared" si="24"/>
        <v>&lt;FacultyMaleTotal Question="I1"&gt;493&lt;/FacultyMaleTotal&gt;</v>
      </c>
    </row>
    <row r="731" spans="4:11" ht="12.75">
      <c r="D731" t="s">
        <v>486</v>
      </c>
      <c r="E731" s="269">
        <f>IF(FacultyNonresidentAliensFullTime&lt;&gt;"",FacultyNonresidentAliensFullTime,-1)</f>
        <v>34</v>
      </c>
      <c r="F731"/>
      <c r="G731" s="311" t="s">
        <v>486</v>
      </c>
      <c r="H731" t="s">
        <v>1345</v>
      </c>
      <c r="K731" t="str">
        <f t="shared" si="24"/>
        <v>&lt;FacultyNonresidentAliensFullTime Question="I1"&gt;34&lt;/FacultyNonresidentAliensFullTime&gt;</v>
      </c>
    </row>
    <row r="732" spans="4:11" ht="12.75">
      <c r="D732" t="s">
        <v>487</v>
      </c>
      <c r="E732" s="269">
        <f>IF(FacultyNonresidentAliensPartTime&lt;&gt;"",FacultyNonresidentAliensPartTime,-1)</f>
        <v>6</v>
      </c>
      <c r="F732"/>
      <c r="G732" s="311" t="s">
        <v>487</v>
      </c>
      <c r="H732" t="s">
        <v>1345</v>
      </c>
      <c r="K732" t="str">
        <f t="shared" si="24"/>
        <v>&lt;FacultyNonresidentAliensPartTime Question="I1"&gt;6&lt;/FacultyNonresidentAliensPartTime&gt;</v>
      </c>
    </row>
    <row r="733" spans="4:11" ht="12.75">
      <c r="D733" t="s">
        <v>488</v>
      </c>
      <c r="E733" s="269">
        <f>IF(FacultyNonresidentAliensTotal&lt;&gt;"",FacultyNonresidentAliensTotal,-1)</f>
        <v>40</v>
      </c>
      <c r="F733"/>
      <c r="G733" s="311" t="s">
        <v>488</v>
      </c>
      <c r="H733" t="s">
        <v>1345</v>
      </c>
      <c r="K733" t="str">
        <f t="shared" si="24"/>
        <v>&lt;FacultyNonresidentAliensTotal Question="I1"&gt;40&lt;/FacultyNonresidentAliensTotal&gt;</v>
      </c>
    </row>
    <row r="734" spans="4:11" ht="12.75">
      <c r="D734" t="s">
        <v>489</v>
      </c>
      <c r="E734" s="269">
        <f>IF(FacultyDegreeDoctorateOrProfessionalFullTime&lt;&gt;"",FacultyDegreeDoctorateOrProfessionalFullTime,-1)</f>
        <v>554</v>
      </c>
      <c r="F734"/>
      <c r="G734" s="311" t="s">
        <v>489</v>
      </c>
      <c r="H734" t="s">
        <v>1345</v>
      </c>
      <c r="K734" t="str">
        <f t="shared" si="24"/>
        <v>&lt;FacultyDegreeDoctorateOrProfessionalFullTime Question="I1"&gt;554&lt;/FacultyDegreeDoctorateOrProfessionalFullTime&gt;</v>
      </c>
    </row>
    <row r="735" spans="4:11" ht="12.75">
      <c r="D735" t="s">
        <v>490</v>
      </c>
      <c r="E735" s="269">
        <f>IF(FacultyDegreeDoctorateOrProfessionalPartTime&lt;&gt;"",FacultyDegreeDoctorateOrProfessionalPartTime,-1)</f>
        <v>60</v>
      </c>
      <c r="F735"/>
      <c r="G735" s="311" t="s">
        <v>490</v>
      </c>
      <c r="H735" t="s">
        <v>1345</v>
      </c>
      <c r="K735" t="str">
        <f t="shared" si="24"/>
        <v>&lt;FacultyDegreeDoctorateOrProfessionalPartTime Question="I1"&gt;60&lt;/FacultyDegreeDoctorateOrProfessionalPartTime&gt;</v>
      </c>
    </row>
    <row r="736" spans="4:11" ht="12.75">
      <c r="D736" t="s">
        <v>491</v>
      </c>
      <c r="E736" s="269">
        <f>IF(FacultyDegreeDoctorateOrProfessionalTotal&lt;&gt;"",FacultyDegreeDoctorateOrProfessionalTotal,-1)</f>
        <v>614</v>
      </c>
      <c r="F736"/>
      <c r="G736" s="311" t="s">
        <v>491</v>
      </c>
      <c r="H736" t="s">
        <v>1345</v>
      </c>
      <c r="K736" t="str">
        <f t="shared" si="24"/>
        <v>&lt;FacultyDegreeDoctorateOrProfessionalTotal Question="I1"&gt;614&lt;/FacultyDegreeDoctorateOrProfessionalTotal&gt;</v>
      </c>
    </row>
    <row r="737" spans="4:11" ht="12.75">
      <c r="D737" t="s">
        <v>492</v>
      </c>
      <c r="E737" s="269">
        <f>IF(FacultyDegreeMastersFullTime&lt;&gt;"",FacultyDegreeMastersFullTime,-1)</f>
        <v>36</v>
      </c>
      <c r="F737"/>
      <c r="G737" s="311" t="s">
        <v>492</v>
      </c>
      <c r="H737" t="s">
        <v>1345</v>
      </c>
      <c r="K737" t="str">
        <f t="shared" si="24"/>
        <v>&lt;FacultyDegreeMastersFullTime Question="I1"&gt;36&lt;/FacultyDegreeMastersFullTime&gt;</v>
      </c>
    </row>
    <row r="738" spans="4:11" ht="12.75">
      <c r="D738" t="s">
        <v>493</v>
      </c>
      <c r="E738" s="269">
        <f>IF(FacultyDegreeMastersPartTime&lt;&gt;"",FacultyDegreeMastersPartTime,-1)</f>
        <v>39</v>
      </c>
      <c r="F738"/>
      <c r="G738" s="311" t="s">
        <v>493</v>
      </c>
      <c r="H738" t="s">
        <v>1345</v>
      </c>
      <c r="K738" t="str">
        <f t="shared" si="24"/>
        <v>&lt;FacultyDegreeMastersPartTime Question="I1"&gt;39&lt;/FacultyDegreeMastersPartTime&gt;</v>
      </c>
    </row>
    <row r="739" spans="4:11" ht="12.75">
      <c r="D739" t="s">
        <v>494</v>
      </c>
      <c r="E739" s="269">
        <f>IF(FacultyDegreeMastersTotal&lt;&gt;"",FacultyDegreeMastersTotal,-1)</f>
        <v>75</v>
      </c>
      <c r="F739"/>
      <c r="G739" s="311" t="s">
        <v>494</v>
      </c>
      <c r="H739" t="s">
        <v>1345</v>
      </c>
      <c r="K739" t="str">
        <f t="shared" si="24"/>
        <v>&lt;FacultyDegreeMastersTotal Question="I1"&gt;75&lt;/FacultyDegreeMastersTotal&gt;</v>
      </c>
    </row>
    <row r="740" spans="4:11" ht="12.75">
      <c r="D740" t="s">
        <v>495</v>
      </c>
      <c r="E740" s="269">
        <f>IF(FacultyDegreeBachelorsFullTime&lt;&gt;"",FacultyDegreeBachelorsFullTime,-1)</f>
        <v>3</v>
      </c>
      <c r="F740"/>
      <c r="G740" s="311" t="s">
        <v>495</v>
      </c>
      <c r="H740" t="s">
        <v>1345</v>
      </c>
      <c r="K740" t="str">
        <f t="shared" si="24"/>
        <v>&lt;FacultyDegreeBachelorsFullTime Question="I1"&gt;3&lt;/FacultyDegreeBachelorsFullTime&gt;</v>
      </c>
    </row>
    <row r="741" spans="4:11" ht="12.75">
      <c r="D741" t="s">
        <v>496</v>
      </c>
      <c r="E741" s="269">
        <f>IF(FacultyDegreeBachelorsPartTime&lt;&gt;"",FacultyDegreeBachelorsPartTime,-1)</f>
        <v>16</v>
      </c>
      <c r="F741"/>
      <c r="G741" s="311" t="s">
        <v>496</v>
      </c>
      <c r="H741" t="s">
        <v>1345</v>
      </c>
      <c r="K741" t="str">
        <f t="shared" si="24"/>
        <v>&lt;FacultyDegreeBachelorsPartTime Question="I1"&gt;16&lt;/FacultyDegreeBachelorsPartTime&gt;</v>
      </c>
    </row>
    <row r="742" spans="4:11" ht="12.75">
      <c r="D742" t="s">
        <v>497</v>
      </c>
      <c r="E742" s="269">
        <f>IF(FacultyDegreeBachelorsTotal&lt;&gt;"",FacultyDegreeBachelorsTotal,-1)</f>
        <v>19</v>
      </c>
      <c r="F742"/>
      <c r="G742" s="311" t="s">
        <v>497</v>
      </c>
      <c r="H742" t="s">
        <v>1345</v>
      </c>
      <c r="K742" t="str">
        <f t="shared" si="24"/>
        <v>&lt;FacultyDegreeBachelorsTotal Question="I1"&gt;19&lt;/FacultyDegreeBachelorsTotal&gt;</v>
      </c>
    </row>
    <row r="743" spans="4:11" ht="12.75">
      <c r="D743" t="s">
        <v>498</v>
      </c>
      <c r="E743" s="269">
        <f>IF(FacultyDegreeOtherFullTime&lt;&gt;"",FacultyDegreeOtherFullTime,-1)</f>
        <v>26</v>
      </c>
      <c r="F743"/>
      <c r="G743" s="311" t="s">
        <v>498</v>
      </c>
      <c r="H743" t="s">
        <v>1345</v>
      </c>
      <c r="K743" t="str">
        <f t="shared" si="24"/>
        <v>&lt;FacultyDegreeOtherFullTime Question="I1"&gt;26&lt;/FacultyDegreeOtherFullTime&gt;</v>
      </c>
    </row>
    <row r="744" spans="4:11" ht="12.75">
      <c r="D744" t="s">
        <v>499</v>
      </c>
      <c r="E744" s="269">
        <f>IF(FacultyDegreeOtherPartTime&lt;&gt;"",FacultyDegreeOtherPartTime,-1)</f>
        <v>63</v>
      </c>
      <c r="F744"/>
      <c r="G744" s="311" t="s">
        <v>499</v>
      </c>
      <c r="H744" t="s">
        <v>1345</v>
      </c>
      <c r="K744" t="str">
        <f t="shared" si="24"/>
        <v>&lt;FacultyDegreeOtherPartTime Question="I1"&gt;63&lt;/FacultyDegreeOtherPartTime&gt;</v>
      </c>
    </row>
    <row r="745" spans="4:11" ht="12.75">
      <c r="D745" t="s">
        <v>500</v>
      </c>
      <c r="E745" s="269">
        <f>IF(FacultyDegreeOtherTotal&lt;&gt;"",FacultyDegreeOtherTotal,-1)</f>
        <v>89</v>
      </c>
      <c r="F745"/>
      <c r="G745" s="311" t="s">
        <v>500</v>
      </c>
      <c r="H745" t="s">
        <v>1345</v>
      </c>
      <c r="K745" t="str">
        <f t="shared" si="24"/>
        <v>&lt;FacultyDegreeOtherTotal Question="I1"&gt;89&lt;/FacultyDegreeOtherTotal&gt;</v>
      </c>
    </row>
    <row r="746" spans="4:11" ht="12.75">
      <c r="D746" t="s">
        <v>501</v>
      </c>
      <c r="E746" s="269">
        <f>IF(FacultyOnlyGraduateCoursesFullTime&lt;&gt;"",FacultyOnlyGraduateCoursesFullTime,-1)</f>
        <v>128</v>
      </c>
      <c r="F746"/>
      <c r="G746" s="311" t="s">
        <v>501</v>
      </c>
      <c r="H746" t="s">
        <v>1345</v>
      </c>
      <c r="K746" t="str">
        <f t="shared" si="24"/>
        <v>&lt;FacultyOnlyGraduateCoursesFullTime Question="I1"&gt;128&lt;/FacultyOnlyGraduateCoursesFullTime&gt;</v>
      </c>
    </row>
    <row r="747" spans="4:11" ht="12.75">
      <c r="D747" t="s">
        <v>502</v>
      </c>
      <c r="E747" s="269">
        <f>IF(FacultyOnlyGraduateCoursesPartTime&lt;&gt;"",FacultyOnlyGraduateCoursesPartTime,-1)</f>
        <v>56</v>
      </c>
      <c r="F747"/>
      <c r="G747" s="311" t="s">
        <v>502</v>
      </c>
      <c r="H747" t="s">
        <v>1345</v>
      </c>
      <c r="K747" t="str">
        <f t="shared" si="24"/>
        <v>&lt;FacultyOnlyGraduateCoursesPartTime Question="I1"&gt;56&lt;/FacultyOnlyGraduateCoursesPartTime&gt;</v>
      </c>
    </row>
    <row r="748" spans="4:11" ht="12.75">
      <c r="D748" t="s">
        <v>503</v>
      </c>
      <c r="E748" s="269">
        <f>IF(FacultyOnlyGraduateCoursesTotal&lt;&gt;"",FacultyOnlyGraduateCoursesTotal,-1)</f>
        <v>184</v>
      </c>
      <c r="F748"/>
      <c r="G748" s="311" t="s">
        <v>503</v>
      </c>
      <c r="H748" t="s">
        <v>1345</v>
      </c>
      <c r="K748" t="str">
        <f t="shared" si="24"/>
        <v>&lt;FacultyOnlyGraduateCoursesTotal Question="I1"&gt;184&lt;/FacultyOnlyGraduateCoursesTotal&gt;</v>
      </c>
    </row>
    <row r="749" spans="4:11" ht="12.75">
      <c r="D749" t="s">
        <v>504</v>
      </c>
      <c r="E749" s="268">
        <f>IF(StudentToFacultyRatio&lt;&gt;"",StudentToFacultyRatio,"-1")</f>
        <v>11</v>
      </c>
      <c r="F749" t="str">
        <f>"=IF("&amp;D749&amp;"&lt;&gt;"""","&amp;D749&amp;",""-1"")"</f>
        <v>=IF(StudentToFacultyRatio&lt;&gt;"",StudentToFacultyRatio,"-1")</v>
      </c>
      <c r="G749" s="316" t="s">
        <v>504</v>
      </c>
      <c r="H749" t="s">
        <v>1346</v>
      </c>
      <c r="K749" t="str">
        <f t="shared" si="24"/>
        <v>&lt;StudentToFacultyRatio Question="I2"&gt;11&lt;/StudentToFacultyRatio&gt;</v>
      </c>
    </row>
    <row r="750" spans="4:11" ht="12.75">
      <c r="D750" s="172" t="s">
        <v>410</v>
      </c>
      <c r="E750" s="303">
        <f>IF(StudentToFacultyRatioTotalStudents&lt;&gt;"",StudentToFacultyRatioTotalStudents,-1)</f>
        <v>5733</v>
      </c>
      <c r="F750" t="str">
        <f>"=IF("&amp;D750&amp;"&lt;&gt;"""","&amp;D750&amp;",-1)"</f>
        <v>=IF(StudentToFacultyRatioTotalStudents&lt;&gt;"",StudentToFacultyRatioTotalStudents,-1)</v>
      </c>
      <c r="G750" s="318" t="s">
        <v>410</v>
      </c>
      <c r="H750" t="s">
        <v>1346</v>
      </c>
      <c r="K750" t="str">
        <f t="shared" si="24"/>
        <v>&lt;StudentToFacultyRatioTotalStudents Question="I2"&gt;5733&lt;/StudentToFacultyRatioTotalStudents&gt;</v>
      </c>
    </row>
    <row r="751" spans="4:11" ht="12.75">
      <c r="D751" s="172" t="s">
        <v>629</v>
      </c>
      <c r="E751" s="303">
        <f>IF(StudentToFacultyRatioTotalFaculty&lt;&gt;"",StudentToFacultyRatioTotalFaculty,-1)</f>
        <v>532</v>
      </c>
      <c r="F751"/>
      <c r="G751" s="318" t="s">
        <v>629</v>
      </c>
      <c r="H751" t="s">
        <v>1346</v>
      </c>
      <c r="K751" t="str">
        <f aca="true" t="shared" si="25" ref="K751:K767">"&lt;"&amp;G751&amp;" Question="""&amp;H751&amp;"""&gt;"&amp;IF(J751=1,"&lt;![CDATA[","")&amp;E751&amp;IF(J751=1,"]]&gt;","")&amp;"&lt;/"&amp;G751&amp;"&gt;"</f>
        <v>&lt;StudentToFacultyRatioTotalFaculty Question="I2"&gt;532&lt;/StudentToFacultyRatioTotalFaculty&gt;</v>
      </c>
    </row>
    <row r="752" spans="4:11" ht="12.75">
      <c r="D752" t="s">
        <v>505</v>
      </c>
      <c r="E752" s="254">
        <f>IF(ClassSizeSectionSize2_9&lt;&gt;"",ClassSizeSectionSize2_9,-1)</f>
        <v>149</v>
      </c>
      <c r="F752"/>
      <c r="G752" s="307" t="s">
        <v>505</v>
      </c>
      <c r="H752" t="s">
        <v>1347</v>
      </c>
      <c r="K752" t="str">
        <f t="shared" si="25"/>
        <v>&lt;ClassSizeSectionSize2_9 Question="I3"&gt;149&lt;/ClassSizeSectionSize2_9&gt;</v>
      </c>
    </row>
    <row r="753" spans="4:11" ht="12.75">
      <c r="D753" t="s">
        <v>506</v>
      </c>
      <c r="E753" s="254">
        <f>IF(ClassSizeSubsectionSize2_9&lt;&gt;"",ClassSizeSubsectionSize2_9,-1)</f>
        <v>7</v>
      </c>
      <c r="F753"/>
      <c r="G753" s="307" t="s">
        <v>506</v>
      </c>
      <c r="H753" t="s">
        <v>1347</v>
      </c>
      <c r="K753" t="str">
        <f t="shared" si="25"/>
        <v>&lt;ClassSizeSubsectionSize2_9 Question="I3"&gt;7&lt;/ClassSizeSubsectionSize2_9&gt;</v>
      </c>
    </row>
    <row r="754" spans="4:11" ht="12.75">
      <c r="D754" t="s">
        <v>452</v>
      </c>
      <c r="E754" s="254">
        <f>IF(ClassSizeSectionSize10_19&lt;&gt;"",ClassSizeSectionSize10_19,-1)</f>
        <v>305</v>
      </c>
      <c r="F754"/>
      <c r="G754" s="307" t="s">
        <v>452</v>
      </c>
      <c r="H754" t="s">
        <v>1347</v>
      </c>
      <c r="K754" t="str">
        <f t="shared" si="25"/>
        <v>&lt;ClassSizeSectionSize10_19 Question="I3"&gt;305&lt;/ClassSizeSectionSize10_19&gt;</v>
      </c>
    </row>
    <row r="755" spans="4:11" ht="12.75">
      <c r="D755" t="s">
        <v>453</v>
      </c>
      <c r="E755" s="254">
        <f>IF(ClassSizeSubsectionSize10_19&lt;&gt;"",ClassSizeSubsectionSize10_19,-1)</f>
        <v>26</v>
      </c>
      <c r="F755"/>
      <c r="G755" s="307" t="s">
        <v>453</v>
      </c>
      <c r="H755" t="s">
        <v>1347</v>
      </c>
      <c r="K755" t="str">
        <f t="shared" si="25"/>
        <v>&lt;ClassSizeSubsectionSize10_19 Question="I3"&gt;26&lt;/ClassSizeSubsectionSize10_19&gt;</v>
      </c>
    </row>
    <row r="756" spans="4:11" ht="12.75">
      <c r="D756" t="s">
        <v>1893</v>
      </c>
      <c r="E756" s="254">
        <f>IF(ClassSizeSectionSize20_29&lt;&gt;"",ClassSizeSectionSize20_29,-1)</f>
        <v>166</v>
      </c>
      <c r="F756"/>
      <c r="G756" s="307" t="s">
        <v>1893</v>
      </c>
      <c r="H756" t="s">
        <v>1347</v>
      </c>
      <c r="K756" t="str">
        <f t="shared" si="25"/>
        <v>&lt;ClassSizeSectionSize20_29 Question="I3"&gt;166&lt;/ClassSizeSectionSize20_29&gt;</v>
      </c>
    </row>
    <row r="757" spans="4:11" ht="12.75">
      <c r="D757" t="s">
        <v>1894</v>
      </c>
      <c r="E757" s="254">
        <f>IF(ClassSizeSubsectionSize20_29&lt;&gt;"",ClassSizeSubsectionSize20_29,-1)</f>
        <v>42</v>
      </c>
      <c r="F757"/>
      <c r="G757" s="307" t="s">
        <v>1894</v>
      </c>
      <c r="H757" t="s">
        <v>1347</v>
      </c>
      <c r="K757" t="str">
        <f t="shared" si="25"/>
        <v>&lt;ClassSizeSubsectionSize20_29 Question="I3"&gt;42&lt;/ClassSizeSubsectionSize20_29&gt;</v>
      </c>
    </row>
    <row r="758" spans="4:11" ht="12.75">
      <c r="D758" t="s">
        <v>1895</v>
      </c>
      <c r="E758" s="254">
        <f>IF(ClassSizeSectionSize30_39&lt;&gt;"",ClassSizeSectionSize30_39,-1)</f>
        <v>176</v>
      </c>
      <c r="F758"/>
      <c r="G758" s="307" t="s">
        <v>1895</v>
      </c>
      <c r="H758" t="s">
        <v>1347</v>
      </c>
      <c r="K758" t="str">
        <f t="shared" si="25"/>
        <v>&lt;ClassSizeSectionSize30_39 Question="I3"&gt;176&lt;/ClassSizeSectionSize30_39&gt;</v>
      </c>
    </row>
    <row r="759" spans="4:11" ht="12.75">
      <c r="D759" t="s">
        <v>1896</v>
      </c>
      <c r="E759" s="254">
        <f>IF(ClassSizeSubsectionSize30_39&lt;&gt;"",ClassSizeSubsectionSize30_39,-1)</f>
        <v>5</v>
      </c>
      <c r="F759"/>
      <c r="G759" s="307" t="s">
        <v>1896</v>
      </c>
      <c r="H759" t="s">
        <v>1347</v>
      </c>
      <c r="K759" t="str">
        <f t="shared" si="25"/>
        <v>&lt;ClassSizeSubsectionSize30_39 Question="I3"&gt;5&lt;/ClassSizeSubsectionSize30_39&gt;</v>
      </c>
    </row>
    <row r="760" spans="4:11" ht="12.75">
      <c r="D760" t="s">
        <v>1897</v>
      </c>
      <c r="E760" s="254">
        <f>IF(ClassSizeSectionSize40_49&lt;&gt;"",ClassSizeSectionSize40_49,-1)</f>
        <v>73</v>
      </c>
      <c r="F760"/>
      <c r="G760" s="307" t="s">
        <v>1897</v>
      </c>
      <c r="H760" t="s">
        <v>1347</v>
      </c>
      <c r="K760" t="str">
        <f t="shared" si="25"/>
        <v>&lt;ClassSizeSectionSize40_49 Question="I3"&gt;73&lt;/ClassSizeSectionSize40_49&gt;</v>
      </c>
    </row>
    <row r="761" spans="4:11" ht="12.75">
      <c r="D761" t="s">
        <v>1898</v>
      </c>
      <c r="E761" s="254">
        <f>IF(ClassSizeSubsectionSize40_49&lt;&gt;"",ClassSizeSubsectionSize40_49,-1)</f>
        <v>1</v>
      </c>
      <c r="F761"/>
      <c r="G761" s="307" t="s">
        <v>1898</v>
      </c>
      <c r="H761" t="s">
        <v>1347</v>
      </c>
      <c r="K761" t="str">
        <f t="shared" si="25"/>
        <v>&lt;ClassSizeSubsectionSize40_49 Question="I3"&gt;1&lt;/ClassSizeSubsectionSize40_49&gt;</v>
      </c>
    </row>
    <row r="762" spans="4:11" ht="12.75">
      <c r="D762" t="s">
        <v>1899</v>
      </c>
      <c r="E762" s="254">
        <f>IF(ClassSizeSectionSize50_99&lt;&gt;"",ClassSizeSectionSize50_99,-1)</f>
        <v>35</v>
      </c>
      <c r="F762"/>
      <c r="G762" s="307" t="s">
        <v>1899</v>
      </c>
      <c r="H762" t="s">
        <v>1347</v>
      </c>
      <c r="K762" t="str">
        <f t="shared" si="25"/>
        <v>&lt;ClassSizeSectionSize50_99 Question="I3"&gt;35&lt;/ClassSizeSectionSize50_99&gt;</v>
      </c>
    </row>
    <row r="763" spans="4:11" ht="12.75">
      <c r="D763" t="s">
        <v>1902</v>
      </c>
      <c r="E763" s="254">
        <f>IF(ClassSizeSubsectionSize50_59&lt;&gt;"",ClassSizeSubsectionSize50_59,-1)</f>
        <v>1</v>
      </c>
      <c r="F763"/>
      <c r="G763" s="307" t="s">
        <v>1902</v>
      </c>
      <c r="H763" t="s">
        <v>1347</v>
      </c>
      <c r="K763" t="str">
        <f t="shared" si="25"/>
        <v>&lt;ClassSizeSubsectionSize50_59 Question="I3"&gt;1&lt;/ClassSizeSubsectionSize50_59&gt;</v>
      </c>
    </row>
    <row r="764" spans="4:11" ht="12.75">
      <c r="D764" t="s">
        <v>1900</v>
      </c>
      <c r="E764" s="254">
        <f>IF(ClassSizeSectionSize100Plus&lt;&gt;"",ClassSizeSectionSize100Plus,-1)</f>
        <v>28</v>
      </c>
      <c r="F764"/>
      <c r="G764" s="307" t="s">
        <v>1900</v>
      </c>
      <c r="H764" t="s">
        <v>1347</v>
      </c>
      <c r="K764" t="str">
        <f t="shared" si="25"/>
        <v>&lt;ClassSizeSectionSize100Plus Question="I3"&gt;28&lt;/ClassSizeSectionSize100Plus&gt;</v>
      </c>
    </row>
    <row r="765" spans="4:11" ht="12.75">
      <c r="D765" t="s">
        <v>1901</v>
      </c>
      <c r="E765" s="254">
        <f>IF(ClassSizeSubsectionSize100Plus&lt;&gt;"",ClassSizeSubsectionSize100Plus,-1)</f>
        <v>0</v>
      </c>
      <c r="F765"/>
      <c r="G765" s="307" t="s">
        <v>1901</v>
      </c>
      <c r="H765" t="s">
        <v>1347</v>
      </c>
      <c r="K765" t="str">
        <f t="shared" si="25"/>
        <v>&lt;ClassSizeSubsectionSize100Plus Question="I3"&gt;0&lt;/ClassSizeSubsectionSize100Plus&gt;</v>
      </c>
    </row>
    <row r="766" spans="4:11" ht="12.75">
      <c r="D766" t="s">
        <v>331</v>
      </c>
      <c r="E766" s="254">
        <f>IF(ClassSizeSectionSizeTotal&lt;&gt;"",ClassSizeSectionSizeTotal,-1)</f>
        <v>932</v>
      </c>
      <c r="F766" t="str">
        <f>"=IF("&amp;D766&amp;"&lt;&gt;"""","&amp;D766&amp;",-1)"</f>
        <v>=IF(ClassSizeSectionSizeTotal&lt;&gt;"",ClassSizeSectionSizeTotal,-1)</v>
      </c>
      <c r="G766" s="307" t="s">
        <v>331</v>
      </c>
      <c r="H766" t="s">
        <v>1347</v>
      </c>
      <c r="K766" t="str">
        <f t="shared" si="25"/>
        <v>&lt;ClassSizeSectionSizeTotal Question="I3"&gt;932&lt;/ClassSizeSectionSizeTotal&gt;</v>
      </c>
    </row>
    <row r="767" spans="4:11" ht="12.75">
      <c r="D767" t="s">
        <v>332</v>
      </c>
      <c r="E767" s="254">
        <f>IF(ClassSizeSubsectionSizeTotal&lt;&gt;"",ClassSizeSubsectionSizeTotal,-1)</f>
        <v>82</v>
      </c>
      <c r="F767"/>
      <c r="G767" s="307" t="s">
        <v>332</v>
      </c>
      <c r="H767" t="s">
        <v>1347</v>
      </c>
      <c r="K767" t="str">
        <f t="shared" si="25"/>
        <v>&lt;ClassSizeSubsectionSizeTotal Question="I3"&gt;82&lt;/ClassSizeSubsectionSizeTotal&gt;</v>
      </c>
    </row>
    <row r="768" spans="5:11" ht="12.75">
      <c r="E768" s="255"/>
      <c r="F768"/>
      <c r="G768" s="308"/>
      <c r="K768" t="s">
        <v>330</v>
      </c>
    </row>
    <row r="769" spans="2:11" ht="12.75">
      <c r="B769" t="s">
        <v>1903</v>
      </c>
      <c r="F769"/>
      <c r="I769" t="s">
        <v>142</v>
      </c>
      <c r="K769" t="s">
        <v>333</v>
      </c>
    </row>
    <row r="770" spans="4:11" ht="12.75">
      <c r="D770" t="s">
        <v>630</v>
      </c>
      <c r="E770" s="268" t="str">
        <f>IF(DiplomaAgriculture&lt;&gt;"",DiplomaAgriculture*100,"-1")</f>
        <v>-1</v>
      </c>
      <c r="F770" t="str">
        <f>"=IF("&amp;D770&amp;"&lt;&gt;"""","&amp;D770&amp;"*100,""-1"")"</f>
        <v>=IF(DiplomaAgriculture&lt;&gt;"",DiplomaAgriculture*100,"-1")</v>
      </c>
      <c r="G770" s="308" t="s">
        <v>630</v>
      </c>
      <c r="H770" t="s">
        <v>1718</v>
      </c>
      <c r="I770">
        <v>1</v>
      </c>
      <c r="K770" t="str">
        <f aca="true" t="shared" si="26" ref="K770:K801">"&lt;"&amp;G770&amp;" Question="""&amp;H770&amp;""" CIP2000Category ="""&amp;I770&amp;"""&gt;"&amp;IF(J770=1,"&lt;![CDATA[","")&amp;E770&amp;IF(J770=1,"]]&gt;","")&amp;"&lt;/"&amp;G770&amp;"&gt;"</f>
        <v>&lt;DiplomaAgriculture Question="J1" CIP2000Category ="1"&gt;-1&lt;/DiplomaAgriculture&gt;</v>
      </c>
    </row>
    <row r="771" spans="4:11" ht="12.75">
      <c r="D771" t="s">
        <v>631</v>
      </c>
      <c r="E771" s="268" t="str">
        <f>IF(AssociatesAgriculture&lt;&gt;"",AssociatesAgriculture*100,"-1")</f>
        <v>-1</v>
      </c>
      <c r="F771"/>
      <c r="G771" s="308" t="s">
        <v>631</v>
      </c>
      <c r="H771" t="s">
        <v>1718</v>
      </c>
      <c r="I771">
        <v>1</v>
      </c>
      <c r="J771" s="306"/>
      <c r="K771" t="str">
        <f t="shared" si="26"/>
        <v>&lt;AssociatesAgriculture Question="J1" CIP2000Category ="1"&gt;-1&lt;/AssociatesAgriculture&gt;</v>
      </c>
    </row>
    <row r="772" spans="4:11" ht="12.75">
      <c r="D772" t="s">
        <v>632</v>
      </c>
      <c r="E772" s="268" t="str">
        <f>IF(BachelorsAgriculture&lt;&gt;"",BachelorsAgriculture*100,"-1")</f>
        <v>-1</v>
      </c>
      <c r="F772"/>
      <c r="G772" s="308" t="s">
        <v>632</v>
      </c>
      <c r="H772" t="s">
        <v>1718</v>
      </c>
      <c r="I772">
        <v>1</v>
      </c>
      <c r="J772" s="306"/>
      <c r="K772" t="str">
        <f t="shared" si="26"/>
        <v>&lt;BachelorsAgriculture Question="J1" CIP2000Category ="1"&gt;-1&lt;/BachelorsAgriculture&gt;</v>
      </c>
    </row>
    <row r="773" spans="4:11" ht="12.75">
      <c r="D773" t="s">
        <v>633</v>
      </c>
      <c r="E773" s="268" t="str">
        <f>IF(DiplomaEnvironment&lt;&gt;"",DiplomaEnvironment*100,"-1")</f>
        <v>-1</v>
      </c>
      <c r="F773"/>
      <c r="G773" s="308" t="s">
        <v>633</v>
      </c>
      <c r="H773" t="s">
        <v>1718</v>
      </c>
      <c r="I773">
        <v>3</v>
      </c>
      <c r="J773" s="306"/>
      <c r="K773" t="str">
        <f t="shared" si="26"/>
        <v>&lt;DiplomaEnvironment Question="J1" CIP2000Category ="3"&gt;-1&lt;/DiplomaEnvironment&gt;</v>
      </c>
    </row>
    <row r="774" spans="4:11" ht="12.75">
      <c r="D774" t="s">
        <v>634</v>
      </c>
      <c r="E774" s="268" t="str">
        <f>IF(AssociatesEnvironment&lt;&gt;"",AssociatesEnvironment*100,"-1")</f>
        <v>-1</v>
      </c>
      <c r="F774"/>
      <c r="G774" s="308" t="s">
        <v>634</v>
      </c>
      <c r="H774" t="s">
        <v>1718</v>
      </c>
      <c r="I774">
        <v>3</v>
      </c>
      <c r="J774" s="306"/>
      <c r="K774" t="str">
        <f t="shared" si="26"/>
        <v>&lt;AssociatesEnvironment Question="J1" CIP2000Category ="3"&gt;-1&lt;/AssociatesEnvironment&gt;</v>
      </c>
    </row>
    <row r="775" spans="4:11" ht="12.75">
      <c r="D775" t="s">
        <v>635</v>
      </c>
      <c r="E775" s="268" t="str">
        <f>IF(BachelorsEnvironment&lt;&gt;"",BachelorsEnvironment*100,"-1")</f>
        <v>-1</v>
      </c>
      <c r="F775"/>
      <c r="G775" s="308" t="s">
        <v>635</v>
      </c>
      <c r="H775" t="s">
        <v>1718</v>
      </c>
      <c r="I775">
        <v>3</v>
      </c>
      <c r="J775" s="306"/>
      <c r="K775" t="str">
        <f t="shared" si="26"/>
        <v>&lt;BachelorsEnvironment Question="J1" CIP2000Category ="3"&gt;-1&lt;/BachelorsEnvironment&gt;</v>
      </c>
    </row>
    <row r="776" spans="4:11" ht="12.75">
      <c r="D776" t="s">
        <v>636</v>
      </c>
      <c r="E776" s="268" t="str">
        <f>IF(DiplomaArchitecture&lt;&gt;"",DiplomaArchitecture*100,"-1")</f>
        <v>-1</v>
      </c>
      <c r="F776"/>
      <c r="G776" s="308" t="s">
        <v>636</v>
      </c>
      <c r="H776" t="s">
        <v>1718</v>
      </c>
      <c r="I776">
        <v>4</v>
      </c>
      <c r="J776" s="306"/>
      <c r="K776" t="str">
        <f t="shared" si="26"/>
        <v>&lt;DiplomaArchitecture Question="J1" CIP2000Category ="4"&gt;-1&lt;/DiplomaArchitecture&gt;</v>
      </c>
    </row>
    <row r="777" spans="4:11" ht="12.75">
      <c r="D777" t="s">
        <v>637</v>
      </c>
      <c r="E777" s="268" t="str">
        <f>IF(AssociatesArchitecture&lt;&gt;"",AssociatesArchitecture*100,"-1")</f>
        <v>-1</v>
      </c>
      <c r="F777"/>
      <c r="G777" s="308" t="s">
        <v>637</v>
      </c>
      <c r="H777" t="s">
        <v>1718</v>
      </c>
      <c r="I777">
        <v>4</v>
      </c>
      <c r="J777" s="306"/>
      <c r="K777" t="str">
        <f t="shared" si="26"/>
        <v>&lt;AssociatesArchitecture Question="J1" CIP2000Category ="4"&gt;-1&lt;/AssociatesArchitecture&gt;</v>
      </c>
    </row>
    <row r="778" spans="4:11" ht="12.75">
      <c r="D778" t="s">
        <v>638</v>
      </c>
      <c r="E778" s="268" t="str">
        <f>IF(BachelorsArchitecture&lt;&gt;"",BachelorsArchitecture*100,"-1")</f>
        <v>-1</v>
      </c>
      <c r="F778"/>
      <c r="G778" s="308" t="s">
        <v>638</v>
      </c>
      <c r="H778" t="s">
        <v>1718</v>
      </c>
      <c r="I778">
        <v>4</v>
      </c>
      <c r="J778" s="306"/>
      <c r="K778" t="str">
        <f t="shared" si="26"/>
        <v>&lt;BachelorsArchitecture Question="J1" CIP2000Category ="4"&gt;-1&lt;/BachelorsArchitecture&gt;</v>
      </c>
    </row>
    <row r="779" spans="4:11" ht="12.75">
      <c r="D779" t="s">
        <v>639</v>
      </c>
      <c r="E779" s="268" t="str">
        <f>IF(DiplomaEthnicStudies&lt;&gt;"",DiplomaEthnicStudies*100,"-1")</f>
        <v>-1</v>
      </c>
      <c r="F779"/>
      <c r="G779" s="308" t="s">
        <v>639</v>
      </c>
      <c r="H779" t="s">
        <v>1718</v>
      </c>
      <c r="I779">
        <v>5</v>
      </c>
      <c r="J779" s="306"/>
      <c r="K779" t="str">
        <f t="shared" si="26"/>
        <v>&lt;DiplomaEthnicStudies Question="J1" CIP2000Category ="5"&gt;-1&lt;/DiplomaEthnicStudies&gt;</v>
      </c>
    </row>
    <row r="780" spans="4:11" ht="12.75">
      <c r="D780" t="s">
        <v>640</v>
      </c>
      <c r="E780" s="268" t="str">
        <f>IF(AssociatesEthnicStudies&lt;&gt;"",AssociatesEthnicStudies*100,"-1")</f>
        <v>-1</v>
      </c>
      <c r="F780"/>
      <c r="G780" s="308" t="s">
        <v>640</v>
      </c>
      <c r="H780" t="s">
        <v>1718</v>
      </c>
      <c r="I780">
        <v>5</v>
      </c>
      <c r="J780" s="306"/>
      <c r="K780" t="str">
        <f t="shared" si="26"/>
        <v>&lt;AssociatesEthnicStudies Question="J1" CIP2000Category ="5"&gt;-1&lt;/AssociatesEthnicStudies&gt;</v>
      </c>
    </row>
    <row r="781" spans="4:11" ht="12.75">
      <c r="D781" t="s">
        <v>641</v>
      </c>
      <c r="E781" s="268">
        <f>IF(BachelorsEthnicStudies&lt;&gt;"",BachelorsEthnicStudies*100,"-1")</f>
        <v>3.11</v>
      </c>
      <c r="F781"/>
      <c r="G781" s="308" t="s">
        <v>641</v>
      </c>
      <c r="H781" t="s">
        <v>1718</v>
      </c>
      <c r="I781">
        <v>5</v>
      </c>
      <c r="J781" s="306"/>
      <c r="K781" t="str">
        <f t="shared" si="26"/>
        <v>&lt;BachelorsEthnicStudies Question="J1" CIP2000Category ="5"&gt;3.11&lt;/BachelorsEthnicStudies&gt;</v>
      </c>
    </row>
    <row r="782" spans="4:11" ht="12.75">
      <c r="D782" t="s">
        <v>642</v>
      </c>
      <c r="E782" s="268" t="str">
        <f>IF(DiplomaJournalism&lt;&gt;"",DiplomaJournalism*100,"-1")</f>
        <v>-1</v>
      </c>
      <c r="F782"/>
      <c r="G782" s="308" t="s">
        <v>642</v>
      </c>
      <c r="H782" t="s">
        <v>1718</v>
      </c>
      <c r="I782">
        <v>9</v>
      </c>
      <c r="J782" s="306"/>
      <c r="K782" t="str">
        <f t="shared" si="26"/>
        <v>&lt;DiplomaJournalism Question="J1" CIP2000Category ="9"&gt;-1&lt;/DiplomaJournalism&gt;</v>
      </c>
    </row>
    <row r="783" spans="4:11" ht="12.75">
      <c r="D783" t="s">
        <v>643</v>
      </c>
      <c r="E783" s="268" t="str">
        <f>IF(AssociatesJournalism&lt;&gt;"",AssociatesJournalism*100,"-1")</f>
        <v>-1</v>
      </c>
      <c r="F783"/>
      <c r="G783" s="308" t="s">
        <v>643</v>
      </c>
      <c r="H783" t="s">
        <v>1718</v>
      </c>
      <c r="I783">
        <v>9</v>
      </c>
      <c r="J783" s="306"/>
      <c r="K783" t="str">
        <f t="shared" si="26"/>
        <v>&lt;AssociatesJournalism Question="J1" CIP2000Category ="9"&gt;-1&lt;/AssociatesJournalism&gt;</v>
      </c>
    </row>
    <row r="784" spans="4:11" ht="12.75">
      <c r="D784" t="s">
        <v>644</v>
      </c>
      <c r="E784" s="268" t="str">
        <f>IF(BachelorsJournalism&lt;&gt;"",BachelorsJournalism*100,"-1")</f>
        <v>-1</v>
      </c>
      <c r="F784"/>
      <c r="G784" s="308" t="s">
        <v>644</v>
      </c>
      <c r="H784" t="s">
        <v>1718</v>
      </c>
      <c r="I784">
        <v>9</v>
      </c>
      <c r="J784" s="306"/>
      <c r="K784" t="str">
        <f t="shared" si="26"/>
        <v>&lt;BachelorsJournalism Question="J1" CIP2000Category ="9"&gt;-1&lt;/BachelorsJournalism&gt;</v>
      </c>
    </row>
    <row r="785" spans="4:11" ht="12.75">
      <c r="D785" t="s">
        <v>645</v>
      </c>
      <c r="E785" s="268" t="str">
        <f>IF(DiplomaCommunication&lt;&gt;"",DiplomaCommunication*100,"-1")</f>
        <v>-1</v>
      </c>
      <c r="F785"/>
      <c r="G785" s="308" t="s">
        <v>645</v>
      </c>
      <c r="H785" t="s">
        <v>1718</v>
      </c>
      <c r="I785">
        <v>10</v>
      </c>
      <c r="J785" s="306"/>
      <c r="K785" t="str">
        <f t="shared" si="26"/>
        <v>&lt;DiplomaCommunication Question="J1" CIP2000Category ="10"&gt;-1&lt;/DiplomaCommunication&gt;</v>
      </c>
    </row>
    <row r="786" spans="4:11" ht="12.75">
      <c r="D786" t="s">
        <v>646</v>
      </c>
      <c r="E786" s="268" t="str">
        <f>IF(AssociatesCommunication&lt;&gt;"",AssociatesCommunication*100,"-1")</f>
        <v>-1</v>
      </c>
      <c r="F786"/>
      <c r="G786" s="308" t="s">
        <v>646</v>
      </c>
      <c r="H786" t="s">
        <v>1718</v>
      </c>
      <c r="I786">
        <v>10</v>
      </c>
      <c r="J786" s="306"/>
      <c r="K786" t="str">
        <f t="shared" si="26"/>
        <v>&lt;AssociatesCommunication Question="J1" CIP2000Category ="10"&gt;-1&lt;/AssociatesCommunication&gt;</v>
      </c>
    </row>
    <row r="787" spans="4:11" ht="12.75">
      <c r="D787" t="s">
        <v>647</v>
      </c>
      <c r="E787" s="268" t="str">
        <f>IF(BachelorsCommunication&lt;&gt;"",BachelorsCommunication*100,"-1")</f>
        <v>-1</v>
      </c>
      <c r="F787"/>
      <c r="G787" s="308" t="s">
        <v>647</v>
      </c>
      <c r="H787" t="s">
        <v>1718</v>
      </c>
      <c r="I787">
        <v>10</v>
      </c>
      <c r="J787" s="306"/>
      <c r="K787" t="str">
        <f t="shared" si="26"/>
        <v>&lt;BachelorsCommunication Question="J1" CIP2000Category ="10"&gt;-1&lt;/BachelorsCommunication&gt;</v>
      </c>
    </row>
    <row r="788" spans="4:11" ht="12.75">
      <c r="D788" t="s">
        <v>648</v>
      </c>
      <c r="E788" s="268" t="str">
        <f>IF(DiplomaComputerScience&lt;&gt;"",DiplomaComputerScience*100,"-1")</f>
        <v>-1</v>
      </c>
      <c r="F788"/>
      <c r="G788" s="308" t="s">
        <v>648</v>
      </c>
      <c r="H788" t="s">
        <v>1718</v>
      </c>
      <c r="I788">
        <v>11</v>
      </c>
      <c r="J788" s="306"/>
      <c r="K788" t="str">
        <f t="shared" si="26"/>
        <v>&lt;DiplomaComputerScience Question="J1" CIP2000Category ="11"&gt;-1&lt;/DiplomaComputerScience&gt;</v>
      </c>
    </row>
    <row r="789" spans="4:11" ht="12.75">
      <c r="D789" t="s">
        <v>649</v>
      </c>
      <c r="E789" s="268" t="str">
        <f>IF(AssociatesComputerScience&lt;&gt;"",AssociatesComputerScience*100,"-1")</f>
        <v>-1</v>
      </c>
      <c r="F789"/>
      <c r="G789" s="308" t="s">
        <v>649</v>
      </c>
      <c r="H789" t="s">
        <v>1718</v>
      </c>
      <c r="I789">
        <v>11</v>
      </c>
      <c r="J789" s="306"/>
      <c r="K789" t="str">
        <f t="shared" si="26"/>
        <v>&lt;AssociatesComputerScience Question="J1" CIP2000Category ="11"&gt;-1&lt;/AssociatesComputerScience&gt;</v>
      </c>
    </row>
    <row r="790" spans="4:11" ht="12.75">
      <c r="D790" t="s">
        <v>650</v>
      </c>
      <c r="E790" s="268">
        <f>IF(BachelorsComputerScience&lt;&gt;"",BachelorsComputerScience*100,"-1")</f>
        <v>0.9400000000000001</v>
      </c>
      <c r="F790"/>
      <c r="G790" s="308" t="s">
        <v>650</v>
      </c>
      <c r="H790" t="s">
        <v>1718</v>
      </c>
      <c r="I790">
        <v>11</v>
      </c>
      <c r="J790" s="306"/>
      <c r="K790" t="str">
        <f t="shared" si="26"/>
        <v>&lt;BachelorsComputerScience Question="J1" CIP2000Category ="11"&gt;0.94&lt;/BachelorsComputerScience&gt;</v>
      </c>
    </row>
    <row r="791" spans="4:11" ht="12.75">
      <c r="D791" t="s">
        <v>651</v>
      </c>
      <c r="E791" s="268" t="str">
        <f>IF(DiplomaCulinary&lt;&gt;"",DiplomaCulinary*100,"-1")</f>
        <v>-1</v>
      </c>
      <c r="F791"/>
      <c r="G791" s="308" t="s">
        <v>651</v>
      </c>
      <c r="H791" t="s">
        <v>1718</v>
      </c>
      <c r="I791">
        <v>12</v>
      </c>
      <c r="J791" s="306"/>
      <c r="K791" t="str">
        <f t="shared" si="26"/>
        <v>&lt;DiplomaCulinary Question="J1" CIP2000Category ="12"&gt;-1&lt;/DiplomaCulinary&gt;</v>
      </c>
    </row>
    <row r="792" spans="4:11" ht="12.75">
      <c r="D792" t="s">
        <v>652</v>
      </c>
      <c r="E792" s="268" t="str">
        <f>IF(AssociatesCulinary&lt;&gt;"",AssociatesCulinary*100,"-1")</f>
        <v>-1</v>
      </c>
      <c r="F792"/>
      <c r="G792" s="308" t="s">
        <v>652</v>
      </c>
      <c r="H792" t="s">
        <v>1718</v>
      </c>
      <c r="I792">
        <v>12</v>
      </c>
      <c r="J792" s="306"/>
      <c r="K792" t="str">
        <f t="shared" si="26"/>
        <v>&lt;AssociatesCulinary Question="J1" CIP2000Category ="12"&gt;-1&lt;/AssociatesCulinary&gt;</v>
      </c>
    </row>
    <row r="793" spans="4:11" ht="12.75">
      <c r="D793" t="s">
        <v>653</v>
      </c>
      <c r="E793" s="268" t="str">
        <f>IF(BachelorsCulinary&lt;&gt;"",BachelorsCulinary*100,"-1")</f>
        <v>-1</v>
      </c>
      <c r="F793"/>
      <c r="G793" s="308" t="s">
        <v>653</v>
      </c>
      <c r="H793" t="s">
        <v>1718</v>
      </c>
      <c r="I793">
        <v>12</v>
      </c>
      <c r="J793" s="306"/>
      <c r="K793" t="str">
        <f t="shared" si="26"/>
        <v>&lt;BachelorsCulinary Question="J1" CIP2000Category ="12"&gt;-1&lt;/BachelorsCulinary&gt;</v>
      </c>
    </row>
    <row r="794" spans="4:11" ht="12.75">
      <c r="D794" t="s">
        <v>654</v>
      </c>
      <c r="E794" s="268" t="str">
        <f>IF(DiplomaEducation&lt;&gt;"",DiplomaEducation*100,"-1")</f>
        <v>-1</v>
      </c>
      <c r="F794"/>
      <c r="G794" s="308" t="s">
        <v>654</v>
      </c>
      <c r="H794" t="s">
        <v>1718</v>
      </c>
      <c r="I794">
        <v>13</v>
      </c>
      <c r="J794" s="306"/>
      <c r="K794" t="str">
        <f t="shared" si="26"/>
        <v>&lt;DiplomaEducation Question="J1" CIP2000Category ="13"&gt;-1&lt;/DiplomaEducation&gt;</v>
      </c>
    </row>
    <row r="795" spans="4:11" ht="12.75">
      <c r="D795" t="s">
        <v>655</v>
      </c>
      <c r="E795" s="268" t="str">
        <f>IF(AssociatesEducation&lt;&gt;"",AssociatesEducation*100,"-1")</f>
        <v>-1</v>
      </c>
      <c r="F795"/>
      <c r="G795" s="308" t="s">
        <v>655</v>
      </c>
      <c r="H795" t="s">
        <v>1718</v>
      </c>
      <c r="I795">
        <v>13</v>
      </c>
      <c r="J795" s="306"/>
      <c r="K795" t="str">
        <f t="shared" si="26"/>
        <v>&lt;AssociatesEducation Question="J1" CIP2000Category ="13"&gt;-1&lt;/AssociatesEducation&gt;</v>
      </c>
    </row>
    <row r="796" spans="4:11" ht="12.75">
      <c r="D796" t="s">
        <v>656</v>
      </c>
      <c r="E796" s="268">
        <f>IF(BachelorsEducation&lt;&gt;"",BachelorsEducation*100,"-1")</f>
        <v>1.72</v>
      </c>
      <c r="F796"/>
      <c r="G796" s="308" t="s">
        <v>656</v>
      </c>
      <c r="H796" t="s">
        <v>1718</v>
      </c>
      <c r="I796">
        <v>13</v>
      </c>
      <c r="J796" s="306"/>
      <c r="K796" t="str">
        <f t="shared" si="26"/>
        <v>&lt;BachelorsEducation Question="J1" CIP2000Category ="13"&gt;1.72&lt;/BachelorsEducation&gt;</v>
      </c>
    </row>
    <row r="797" spans="4:11" ht="12.75">
      <c r="D797" t="s">
        <v>657</v>
      </c>
      <c r="E797" s="268" t="str">
        <f>IF(DiplomaEngineering&lt;&gt;"",DiplomaEngineering*100,"-1")</f>
        <v>-1</v>
      </c>
      <c r="F797"/>
      <c r="G797" s="308" t="s">
        <v>657</v>
      </c>
      <c r="H797" t="s">
        <v>1718</v>
      </c>
      <c r="I797">
        <v>14</v>
      </c>
      <c r="J797" s="306"/>
      <c r="K797" t="str">
        <f t="shared" si="26"/>
        <v>&lt;DiplomaEngineering Question="J1" CIP2000Category ="14"&gt;-1&lt;/DiplomaEngineering&gt;</v>
      </c>
    </row>
    <row r="798" spans="4:11" ht="12.75">
      <c r="D798" t="s">
        <v>658</v>
      </c>
      <c r="E798" s="268" t="str">
        <f>IF(AssociatesEngineering&lt;&gt;"",AssociatesEngineering*100,"-1")</f>
        <v>-1</v>
      </c>
      <c r="F798"/>
      <c r="G798" s="308" t="s">
        <v>658</v>
      </c>
      <c r="H798" t="s">
        <v>1718</v>
      </c>
      <c r="I798">
        <v>14</v>
      </c>
      <c r="J798" s="306"/>
      <c r="K798" t="str">
        <f t="shared" si="26"/>
        <v>&lt;AssociatesEngineering Question="J1" CIP2000Category ="14"&gt;-1&lt;/AssociatesEngineering&gt;</v>
      </c>
    </row>
    <row r="799" spans="4:11" ht="12.75">
      <c r="D799" t="s">
        <v>659</v>
      </c>
      <c r="E799" s="268" t="str">
        <f>IF(BachelorsEngineering&lt;&gt;"",BachelorsEngineering*100,"-1")</f>
        <v>-1</v>
      </c>
      <c r="F799"/>
      <c r="G799" s="308" t="s">
        <v>659</v>
      </c>
      <c r="H799" t="s">
        <v>1718</v>
      </c>
      <c r="I799">
        <v>14</v>
      </c>
      <c r="J799" s="306"/>
      <c r="K799" t="str">
        <f t="shared" si="26"/>
        <v>&lt;BachelorsEngineering Question="J1" CIP2000Category ="14"&gt;-1&lt;/BachelorsEngineering&gt;</v>
      </c>
    </row>
    <row r="800" spans="4:11" ht="12.75">
      <c r="D800" t="s">
        <v>660</v>
      </c>
      <c r="E800" s="268" t="str">
        <f>IF(DiplomaEngineeringTechnology&lt;&gt;"",DiplomaEngineeringTechnology*100,"-1")</f>
        <v>-1</v>
      </c>
      <c r="F800"/>
      <c r="G800" s="308" t="s">
        <v>660</v>
      </c>
      <c r="H800" t="s">
        <v>1718</v>
      </c>
      <c r="I800">
        <v>15</v>
      </c>
      <c r="J800" s="306"/>
      <c r="K800" t="str">
        <f t="shared" si="26"/>
        <v>&lt;DiplomaEngineeringTechnology Question="J1" CIP2000Category ="15"&gt;-1&lt;/DiplomaEngineeringTechnology&gt;</v>
      </c>
    </row>
    <row r="801" spans="4:11" ht="12.75">
      <c r="D801" t="s">
        <v>661</v>
      </c>
      <c r="E801" s="268" t="str">
        <f>IF(AssociatesEngineeringTechnology&lt;&gt;"",AssociatesEngineeringTechnology*100,"-1")</f>
        <v>-1</v>
      </c>
      <c r="F801"/>
      <c r="G801" s="308" t="s">
        <v>661</v>
      </c>
      <c r="H801" t="s">
        <v>1718</v>
      </c>
      <c r="I801">
        <v>15</v>
      </c>
      <c r="J801" s="306"/>
      <c r="K801" t="str">
        <f t="shared" si="26"/>
        <v>&lt;AssociatesEngineeringTechnology Question="J1" CIP2000Category ="15"&gt;-1&lt;/AssociatesEngineeringTechnology&gt;</v>
      </c>
    </row>
    <row r="802" spans="4:11" ht="12.75">
      <c r="D802" t="s">
        <v>662</v>
      </c>
      <c r="E802" s="268" t="str">
        <f>IF(BachelorsEngineeringTechnology&lt;&gt;"",BachelorsEngineeringTechnology*100,"-1")</f>
        <v>-1</v>
      </c>
      <c r="F802"/>
      <c r="G802" s="308" t="s">
        <v>662</v>
      </c>
      <c r="H802" t="s">
        <v>1718</v>
      </c>
      <c r="I802">
        <v>15</v>
      </c>
      <c r="J802" s="306"/>
      <c r="K802" t="str">
        <f aca="true" t="shared" si="27" ref="K802:K833">"&lt;"&amp;G802&amp;" Question="""&amp;H802&amp;""" CIP2000Category ="""&amp;I802&amp;"""&gt;"&amp;IF(J802=1,"&lt;![CDATA[","")&amp;E802&amp;IF(J802=1,"]]&gt;","")&amp;"&lt;/"&amp;G802&amp;"&gt;"</f>
        <v>&lt;BachelorsEngineeringTechnology Question="J1" CIP2000Category ="15"&gt;-1&lt;/BachelorsEngineeringTechnology&gt;</v>
      </c>
    </row>
    <row r="803" spans="4:11" ht="12.75">
      <c r="D803" t="s">
        <v>663</v>
      </c>
      <c r="E803" s="268" t="str">
        <f>IF(DiplomaForeignLanguage&lt;&gt;"",DiplomaForeignLanguage*100,"-1")</f>
        <v>-1</v>
      </c>
      <c r="F803"/>
      <c r="G803" s="308" t="s">
        <v>663</v>
      </c>
      <c r="H803" t="s">
        <v>1718</v>
      </c>
      <c r="I803">
        <v>16</v>
      </c>
      <c r="J803" s="306"/>
      <c r="K803" t="str">
        <f t="shared" si="27"/>
        <v>&lt;DiplomaForeignLanguage Question="J1" CIP2000Category ="16"&gt;-1&lt;/DiplomaForeignLanguage&gt;</v>
      </c>
    </row>
    <row r="804" spans="4:11" ht="12.75">
      <c r="D804" t="s">
        <v>664</v>
      </c>
      <c r="E804" s="268" t="str">
        <f>IF(AssociatesForeignLanguage&lt;&gt;"",AssociatesForeignLanguage*100,"-1")</f>
        <v>-1</v>
      </c>
      <c r="F804"/>
      <c r="G804" s="308" t="s">
        <v>664</v>
      </c>
      <c r="H804" t="s">
        <v>1718</v>
      </c>
      <c r="I804">
        <v>16</v>
      </c>
      <c r="J804" s="306"/>
      <c r="K804" t="str">
        <f t="shared" si="27"/>
        <v>&lt;AssociatesForeignLanguage Question="J1" CIP2000Category ="16"&gt;-1&lt;/AssociatesForeignLanguage&gt;</v>
      </c>
    </row>
    <row r="805" spans="4:11" ht="12.75">
      <c r="D805" t="s">
        <v>665</v>
      </c>
      <c r="E805" s="268">
        <f>IF(BachelorsForeignLanguage&lt;&gt;"",BachelorsForeignLanguage*100,"-1")</f>
        <v>4.17</v>
      </c>
      <c r="F805"/>
      <c r="G805" s="308" t="s">
        <v>665</v>
      </c>
      <c r="H805" t="s">
        <v>1718</v>
      </c>
      <c r="I805">
        <v>16</v>
      </c>
      <c r="J805" s="306"/>
      <c r="K805" t="str">
        <f t="shared" si="27"/>
        <v>&lt;BachelorsForeignLanguage Question="J1" CIP2000Category ="16"&gt;4.17&lt;/BachelorsForeignLanguage&gt;</v>
      </c>
    </row>
    <row r="806" spans="4:11" ht="12.75">
      <c r="D806" t="s">
        <v>666</v>
      </c>
      <c r="E806" s="268" t="str">
        <f>IF(DiplomaConsumerSciences&lt;&gt;"",DiplomaConsumerSciences*100,"-1")</f>
        <v>-1</v>
      </c>
      <c r="F806"/>
      <c r="G806" s="308" t="s">
        <v>666</v>
      </c>
      <c r="H806" t="s">
        <v>1718</v>
      </c>
      <c r="I806">
        <v>19</v>
      </c>
      <c r="J806" s="306"/>
      <c r="K806" t="str">
        <f t="shared" si="27"/>
        <v>&lt;DiplomaConsumerSciences Question="J1" CIP2000Category ="19"&gt;-1&lt;/DiplomaConsumerSciences&gt;</v>
      </c>
    </row>
    <row r="807" spans="4:11" ht="12.75">
      <c r="D807" t="s">
        <v>667</v>
      </c>
      <c r="E807" s="268" t="str">
        <f>IF(AssociatesConsumerSciences&lt;&gt;"",AssociatesConsumerSciences*100,"-1")</f>
        <v>-1</v>
      </c>
      <c r="F807"/>
      <c r="G807" s="308" t="s">
        <v>667</v>
      </c>
      <c r="H807" t="s">
        <v>1718</v>
      </c>
      <c r="I807">
        <v>19</v>
      </c>
      <c r="J807" s="306"/>
      <c r="K807" t="str">
        <f t="shared" si="27"/>
        <v>&lt;AssociatesConsumerSciences Question="J1" CIP2000Category ="19"&gt;-1&lt;/AssociatesConsumerSciences&gt;</v>
      </c>
    </row>
    <row r="808" spans="4:11" ht="12.75">
      <c r="D808" t="s">
        <v>668</v>
      </c>
      <c r="E808" s="268" t="str">
        <f>IF(BachelorsConsumerSciences&lt;&gt;"",BachelorsConsumerSciences*100,"-1")</f>
        <v>-1</v>
      </c>
      <c r="F808"/>
      <c r="G808" s="308" t="s">
        <v>668</v>
      </c>
      <c r="H808" t="s">
        <v>1718</v>
      </c>
      <c r="I808">
        <v>19</v>
      </c>
      <c r="J808" s="306"/>
      <c r="K808" t="str">
        <f t="shared" si="27"/>
        <v>&lt;BachelorsConsumerSciences Question="J1" CIP2000Category ="19"&gt;-1&lt;/BachelorsConsumerSciences&gt;</v>
      </c>
    </row>
    <row r="809" spans="4:11" ht="12.75">
      <c r="D809" t="s">
        <v>669</v>
      </c>
      <c r="E809" s="268" t="str">
        <f>IF(DiplomaLaw&lt;&gt;"",DiplomaLaw*100,"-1")</f>
        <v>-1</v>
      </c>
      <c r="F809"/>
      <c r="G809" s="308" t="s">
        <v>669</v>
      </c>
      <c r="H809" t="s">
        <v>1718</v>
      </c>
      <c r="I809">
        <v>22</v>
      </c>
      <c r="J809" s="306"/>
      <c r="K809" t="str">
        <f t="shared" si="27"/>
        <v>&lt;DiplomaLaw Question="J1" CIP2000Category ="22"&gt;-1&lt;/DiplomaLaw&gt;</v>
      </c>
    </row>
    <row r="810" spans="4:11" ht="12.75">
      <c r="D810" t="s">
        <v>670</v>
      </c>
      <c r="E810" s="268" t="str">
        <f>IF(AssociatesLaw&lt;&gt;"",AssociatesLaw*100,"-1")</f>
        <v>-1</v>
      </c>
      <c r="F810"/>
      <c r="G810" s="308" t="s">
        <v>670</v>
      </c>
      <c r="H810" t="s">
        <v>1718</v>
      </c>
      <c r="I810">
        <v>22</v>
      </c>
      <c r="J810" s="306"/>
      <c r="K810" t="str">
        <f t="shared" si="27"/>
        <v>&lt;AssociatesLaw Question="J1" CIP2000Category ="22"&gt;-1&lt;/AssociatesLaw&gt;</v>
      </c>
    </row>
    <row r="811" spans="4:11" ht="12.75">
      <c r="D811" t="s">
        <v>671</v>
      </c>
      <c r="E811" s="268" t="str">
        <f>IF(BachelorsLaw&lt;&gt;"",BachelorsLaw*100,"-1")</f>
        <v>-1</v>
      </c>
      <c r="F811"/>
      <c r="G811" s="308" t="s">
        <v>671</v>
      </c>
      <c r="H811" t="s">
        <v>1718</v>
      </c>
      <c r="I811">
        <v>22</v>
      </c>
      <c r="J811" s="306"/>
      <c r="K811" t="str">
        <f t="shared" si="27"/>
        <v>&lt;BachelorsLaw Question="J1" CIP2000Category ="22"&gt;-1&lt;/BachelorsLaw&gt;</v>
      </c>
    </row>
    <row r="812" spans="4:11" ht="12.75">
      <c r="D812" t="s">
        <v>672</v>
      </c>
      <c r="E812" s="268" t="str">
        <f>IF(DiplomaEnglish&lt;&gt;"",DiplomaEnglish*100,"-1")</f>
        <v>-1</v>
      </c>
      <c r="F812"/>
      <c r="G812" s="308" t="s">
        <v>672</v>
      </c>
      <c r="H812" t="s">
        <v>1718</v>
      </c>
      <c r="I812">
        <v>23</v>
      </c>
      <c r="J812" s="306"/>
      <c r="K812" t="str">
        <f t="shared" si="27"/>
        <v>&lt;DiplomaEnglish Question="J1" CIP2000Category ="23"&gt;-1&lt;/DiplomaEnglish&gt;</v>
      </c>
    </row>
    <row r="813" spans="4:11" ht="12.75">
      <c r="D813" t="s">
        <v>673</v>
      </c>
      <c r="E813" s="268" t="str">
        <f>IF(AssociatesEnglish&lt;&gt;"",AssociatesEnglish*100,"-1")</f>
        <v>-1</v>
      </c>
      <c r="F813"/>
      <c r="G813" s="308" t="s">
        <v>673</v>
      </c>
      <c r="H813" t="s">
        <v>1718</v>
      </c>
      <c r="I813">
        <v>23</v>
      </c>
      <c r="J813" s="306"/>
      <c r="K813" t="str">
        <f t="shared" si="27"/>
        <v>&lt;AssociatesEnglish Question="J1" CIP2000Category ="23"&gt;-1&lt;/AssociatesEnglish&gt;</v>
      </c>
    </row>
    <row r="814" spans="4:11" ht="12.75">
      <c r="D814" t="s">
        <v>674</v>
      </c>
      <c r="E814" s="268">
        <f>IF(BachelorsEnglish&lt;&gt;"",BachelorsEnglish*100,"-1")</f>
        <v>8.559999999999999</v>
      </c>
      <c r="F814"/>
      <c r="G814" s="308" t="s">
        <v>674</v>
      </c>
      <c r="H814" t="s">
        <v>1718</v>
      </c>
      <c r="I814">
        <v>23</v>
      </c>
      <c r="J814" s="306"/>
      <c r="K814" t="str">
        <f t="shared" si="27"/>
        <v>&lt;BachelorsEnglish Question="J1" CIP2000Category ="23"&gt;8.56&lt;/BachelorsEnglish&gt;</v>
      </c>
    </row>
    <row r="815" spans="4:11" ht="12.75">
      <c r="D815" t="s">
        <v>675</v>
      </c>
      <c r="E815" s="268" t="str">
        <f>IF(DiplomaLiberalArts&lt;&gt;"",DiplomaLiberalArts*100,"-1")</f>
        <v>-1</v>
      </c>
      <c r="F815"/>
      <c r="G815" s="308" t="s">
        <v>675</v>
      </c>
      <c r="H815" t="s">
        <v>1718</v>
      </c>
      <c r="I815">
        <v>24</v>
      </c>
      <c r="J815" s="306"/>
      <c r="K815" t="str">
        <f t="shared" si="27"/>
        <v>&lt;DiplomaLiberalArts Question="J1" CIP2000Category ="24"&gt;-1&lt;/DiplomaLiberalArts&gt;</v>
      </c>
    </row>
    <row r="816" spans="4:11" ht="12.75">
      <c r="D816" t="s">
        <v>676</v>
      </c>
      <c r="E816" s="268" t="str">
        <f>IF(AssociatesLiberalArts&lt;&gt;"",AssociatesLiberalArts*100,"-1")</f>
        <v>-1</v>
      </c>
      <c r="F816"/>
      <c r="G816" s="308" t="s">
        <v>676</v>
      </c>
      <c r="H816" t="s">
        <v>1718</v>
      </c>
      <c r="I816">
        <v>24</v>
      </c>
      <c r="J816" s="306"/>
      <c r="K816" t="str">
        <f t="shared" si="27"/>
        <v>&lt;AssociatesLiberalArts Question="J1" CIP2000Category ="24"&gt;-1&lt;/AssociatesLiberalArts&gt;</v>
      </c>
    </row>
    <row r="817" spans="4:11" ht="12.75">
      <c r="D817" t="s">
        <v>677</v>
      </c>
      <c r="E817" s="268" t="str">
        <f>IF(BachelorsLiberalArts&lt;&gt;"",BachelorsLiberalArts*100,"-1")</f>
        <v>-1</v>
      </c>
      <c r="F817"/>
      <c r="G817" s="308" t="s">
        <v>677</v>
      </c>
      <c r="H817" t="s">
        <v>1718</v>
      </c>
      <c r="I817">
        <v>24</v>
      </c>
      <c r="J817" s="306"/>
      <c r="K817" t="str">
        <f t="shared" si="27"/>
        <v>&lt;BachelorsLiberalArts Question="J1" CIP2000Category ="24"&gt;-1&lt;/BachelorsLiberalArts&gt;</v>
      </c>
    </row>
    <row r="818" spans="4:11" ht="12.75">
      <c r="D818" t="s">
        <v>678</v>
      </c>
      <c r="E818" s="268" t="str">
        <f>IF(DiplomaLibrary&lt;&gt;"",DiplomaLibrary*100,"-1")</f>
        <v>-1</v>
      </c>
      <c r="F818"/>
      <c r="G818" s="308" t="s">
        <v>678</v>
      </c>
      <c r="H818" t="s">
        <v>1718</v>
      </c>
      <c r="I818">
        <v>25</v>
      </c>
      <c r="J818" s="306"/>
      <c r="K818" t="str">
        <f t="shared" si="27"/>
        <v>&lt;DiplomaLibrary Question="J1" CIP2000Category ="25"&gt;-1&lt;/DiplomaLibrary&gt;</v>
      </c>
    </row>
    <row r="819" spans="4:11" ht="12.75">
      <c r="D819" t="s">
        <v>679</v>
      </c>
      <c r="E819" s="268" t="str">
        <f>IF(AssociatesLibrary&lt;&gt;"",AssociatesLibrary*100,"-1")</f>
        <v>-1</v>
      </c>
      <c r="F819"/>
      <c r="G819" s="308" t="s">
        <v>679</v>
      </c>
      <c r="H819" t="s">
        <v>1718</v>
      </c>
      <c r="I819">
        <v>25</v>
      </c>
      <c r="J819" s="306"/>
      <c r="K819" t="str">
        <f t="shared" si="27"/>
        <v>&lt;AssociatesLibrary Question="J1" CIP2000Category ="25"&gt;-1&lt;/AssociatesLibrary&gt;</v>
      </c>
    </row>
    <row r="820" spans="4:11" ht="12.75">
      <c r="D820" t="s">
        <v>680</v>
      </c>
      <c r="E820" s="268" t="str">
        <f>IF(BachelorsLibrary&lt;&gt;"",BachelorsLibrary*100,"-1")</f>
        <v>-1</v>
      </c>
      <c r="F820"/>
      <c r="G820" s="308" t="s">
        <v>680</v>
      </c>
      <c r="H820" t="s">
        <v>1718</v>
      </c>
      <c r="I820">
        <v>25</v>
      </c>
      <c r="J820" s="306"/>
      <c r="K820" t="str">
        <f t="shared" si="27"/>
        <v>&lt;BachelorsLibrary Question="J1" CIP2000Category ="25"&gt;-1&lt;/BachelorsLibrary&gt;</v>
      </c>
    </row>
    <row r="821" spans="4:11" ht="12.75">
      <c r="D821" t="s">
        <v>681</v>
      </c>
      <c r="E821" s="268" t="str">
        <f>IF(DiplomaBiology&lt;&gt;"",DiplomaBiology*100,"-1")</f>
        <v>-1</v>
      </c>
      <c r="F821"/>
      <c r="G821" s="308" t="s">
        <v>681</v>
      </c>
      <c r="H821" t="s">
        <v>1718</v>
      </c>
      <c r="I821">
        <v>26</v>
      </c>
      <c r="J821" s="306"/>
      <c r="K821" t="str">
        <f t="shared" si="27"/>
        <v>&lt;DiplomaBiology Question="J1" CIP2000Category ="26"&gt;-1&lt;/DiplomaBiology&gt;</v>
      </c>
    </row>
    <row r="822" spans="4:11" ht="12.75">
      <c r="D822" t="s">
        <v>682</v>
      </c>
      <c r="E822" s="268" t="str">
        <f>IF(AssociatesBiology&lt;&gt;"",AssociatesBiology*100,"-1")</f>
        <v>-1</v>
      </c>
      <c r="F822"/>
      <c r="G822" s="308" t="s">
        <v>682</v>
      </c>
      <c r="H822" t="s">
        <v>1718</v>
      </c>
      <c r="I822">
        <v>26</v>
      </c>
      <c r="J822" s="306"/>
      <c r="K822" t="str">
        <f t="shared" si="27"/>
        <v>&lt;AssociatesBiology Question="J1" CIP2000Category ="26"&gt;-1&lt;/AssociatesBiology&gt;</v>
      </c>
    </row>
    <row r="823" spans="4:11" ht="12.75">
      <c r="D823" t="s">
        <v>683</v>
      </c>
      <c r="E823" s="268">
        <f>IF(BachelorsBiology&lt;&gt;"",BachelorsBiology*100,"-1")</f>
        <v>6.11</v>
      </c>
      <c r="F823"/>
      <c r="G823" s="308" t="s">
        <v>683</v>
      </c>
      <c r="H823" t="s">
        <v>1718</v>
      </c>
      <c r="I823">
        <v>26</v>
      </c>
      <c r="J823" s="306"/>
      <c r="K823" t="str">
        <f t="shared" si="27"/>
        <v>&lt;BachelorsBiology Question="J1" CIP2000Category ="26"&gt;6.11&lt;/BachelorsBiology&gt;</v>
      </c>
    </row>
    <row r="824" spans="4:11" ht="12.75">
      <c r="D824" t="s">
        <v>684</v>
      </c>
      <c r="E824" s="268" t="str">
        <f>IF(DiplomaMathematics&lt;&gt;"",DiplomaMathematics*100,"-1")</f>
        <v>-1</v>
      </c>
      <c r="F824"/>
      <c r="G824" s="308" t="s">
        <v>684</v>
      </c>
      <c r="H824" t="s">
        <v>1718</v>
      </c>
      <c r="I824">
        <v>27</v>
      </c>
      <c r="J824" s="306"/>
      <c r="K824" t="str">
        <f t="shared" si="27"/>
        <v>&lt;DiplomaMathematics Question="J1" CIP2000Category ="27"&gt;-1&lt;/DiplomaMathematics&gt;</v>
      </c>
    </row>
    <row r="825" spans="4:11" ht="12.75">
      <c r="D825" t="s">
        <v>685</v>
      </c>
      <c r="E825" s="268" t="str">
        <f>IF(AssociatesMathematics&lt;&gt;"",AssociatesMathematics*100,"-1")</f>
        <v>-1</v>
      </c>
      <c r="F825"/>
      <c r="G825" s="308" t="s">
        <v>685</v>
      </c>
      <c r="H825" t="s">
        <v>1718</v>
      </c>
      <c r="I825">
        <v>27</v>
      </c>
      <c r="J825" s="306"/>
      <c r="K825" t="str">
        <f t="shared" si="27"/>
        <v>&lt;AssociatesMathematics Question="J1" CIP2000Category ="27"&gt;-1&lt;/AssociatesMathematics&gt;</v>
      </c>
    </row>
    <row r="826" spans="4:11" ht="12.75">
      <c r="D826" t="s">
        <v>686</v>
      </c>
      <c r="E826" s="268">
        <f>IF(BachelorsMathematics&lt;&gt;"",BachelorsMathematics*100,"-1")</f>
        <v>1.5599999999999998</v>
      </c>
      <c r="F826"/>
      <c r="G826" s="308" t="s">
        <v>686</v>
      </c>
      <c r="H826" t="s">
        <v>1718</v>
      </c>
      <c r="I826">
        <v>27</v>
      </c>
      <c r="J826" s="306"/>
      <c r="K826" t="str">
        <f t="shared" si="27"/>
        <v>&lt;BachelorsMathematics Question="J1" CIP2000Category ="27"&gt;1.56&lt;/BachelorsMathematics&gt;</v>
      </c>
    </row>
    <row r="827" spans="4:11" ht="12.75">
      <c r="D827" t="s">
        <v>687</v>
      </c>
      <c r="E827" s="268" t="str">
        <f>IF(DiplomaMilitary&lt;&gt;"",DiplomaMilitary*100,"-1")</f>
        <v>-1</v>
      </c>
      <c r="F827"/>
      <c r="G827" s="308" t="s">
        <v>687</v>
      </c>
      <c r="H827" t="s">
        <v>1718</v>
      </c>
      <c r="I827">
        <v>29</v>
      </c>
      <c r="J827" s="306"/>
      <c r="K827" t="str">
        <f t="shared" si="27"/>
        <v>&lt;DiplomaMilitary Question="J1" CIP2000Category ="29"&gt;-1&lt;/DiplomaMilitary&gt;</v>
      </c>
    </row>
    <row r="828" spans="4:11" ht="12.75">
      <c r="D828" t="s">
        <v>688</v>
      </c>
      <c r="E828" s="268" t="str">
        <f>IF(AssociatesMilitary&lt;&gt;"",AssociatesMilitary*100,"-1")</f>
        <v>-1</v>
      </c>
      <c r="F828"/>
      <c r="G828" s="308" t="s">
        <v>688</v>
      </c>
      <c r="H828" t="s">
        <v>1718</v>
      </c>
      <c r="I828">
        <v>29</v>
      </c>
      <c r="J828" s="306"/>
      <c r="K828" t="str">
        <f t="shared" si="27"/>
        <v>&lt;AssociatesMilitary Question="J1" CIP2000Category ="29"&gt;-1&lt;/AssociatesMilitary&gt;</v>
      </c>
    </row>
    <row r="829" spans="4:11" ht="12.75">
      <c r="D829" t="s">
        <v>689</v>
      </c>
      <c r="E829" s="268" t="str">
        <f>IF(BachelorsMilitary&lt;&gt;"",BachelorsMilitary*100,"-1")</f>
        <v>-1</v>
      </c>
      <c r="F829"/>
      <c r="G829" s="308" t="s">
        <v>689</v>
      </c>
      <c r="H829" t="s">
        <v>1718</v>
      </c>
      <c r="I829">
        <v>29</v>
      </c>
      <c r="J829" s="306"/>
      <c r="K829" t="str">
        <f t="shared" si="27"/>
        <v>&lt;BachelorsMilitary Question="J1" CIP2000Category ="29"&gt;-1&lt;/BachelorsMilitary&gt;</v>
      </c>
    </row>
    <row r="830" spans="4:11" ht="12.75">
      <c r="D830" t="s">
        <v>690</v>
      </c>
      <c r="E830" s="268" t="str">
        <f>IF(DiplomaInterdisciplinary&lt;&gt;"",DiplomaInterdisciplinary*100,"-1")</f>
        <v>-1</v>
      </c>
      <c r="F830"/>
      <c r="G830" s="308" t="s">
        <v>690</v>
      </c>
      <c r="H830" t="s">
        <v>1718</v>
      </c>
      <c r="I830">
        <v>30</v>
      </c>
      <c r="J830" s="306"/>
      <c r="K830" t="str">
        <f t="shared" si="27"/>
        <v>&lt;DiplomaInterdisciplinary Question="J1" CIP2000Category ="30"&gt;-1&lt;/DiplomaInterdisciplinary&gt;</v>
      </c>
    </row>
    <row r="831" spans="4:11" ht="12.75">
      <c r="D831" t="s">
        <v>691</v>
      </c>
      <c r="E831" s="268" t="str">
        <f>IF(AssociatesInterdisciplinary&lt;&gt;"",AssociatesInterdisciplinary*100,"-1")</f>
        <v>-1</v>
      </c>
      <c r="F831"/>
      <c r="G831" s="308" t="s">
        <v>691</v>
      </c>
      <c r="H831" t="s">
        <v>1718</v>
      </c>
      <c r="I831">
        <v>30</v>
      </c>
      <c r="J831" s="306"/>
      <c r="K831" t="str">
        <f t="shared" si="27"/>
        <v>&lt;AssociatesInterdisciplinary Question="J1" CIP2000Category ="30"&gt;-1&lt;/AssociatesInterdisciplinary&gt;</v>
      </c>
    </row>
    <row r="832" spans="4:11" ht="12.75">
      <c r="D832" t="s">
        <v>692</v>
      </c>
      <c r="E832" s="268">
        <f>IF(BachelorsInterdisciplinary&lt;&gt;"",BachelorsInterdisciplinary*100,"-1")</f>
        <v>8.780000000000001</v>
      </c>
      <c r="F832"/>
      <c r="G832" s="308" t="s">
        <v>692</v>
      </c>
      <c r="H832" t="s">
        <v>1718</v>
      </c>
      <c r="I832">
        <v>30</v>
      </c>
      <c r="J832" s="306"/>
      <c r="K832" t="str">
        <f t="shared" si="27"/>
        <v>&lt;BachelorsInterdisciplinary Question="J1" CIP2000Category ="30"&gt;8.78&lt;/BachelorsInterdisciplinary&gt;</v>
      </c>
    </row>
    <row r="833" spans="4:11" ht="12.75">
      <c r="D833" t="s">
        <v>693</v>
      </c>
      <c r="E833" s="268" t="str">
        <f>IF(DiplomaParks&lt;&gt;"",DiplomaParks*100,"-1")</f>
        <v>-1</v>
      </c>
      <c r="F833"/>
      <c r="G833" s="308" t="s">
        <v>693</v>
      </c>
      <c r="H833" t="s">
        <v>1718</v>
      </c>
      <c r="I833">
        <v>31</v>
      </c>
      <c r="J833" s="306"/>
      <c r="K833" t="str">
        <f t="shared" si="27"/>
        <v>&lt;DiplomaParks Question="J1" CIP2000Category ="31"&gt;-1&lt;/DiplomaParks&gt;</v>
      </c>
    </row>
    <row r="834" spans="4:11" ht="12.75">
      <c r="D834" t="s">
        <v>694</v>
      </c>
      <c r="E834" s="268" t="str">
        <f>IF(AssociatesParks&lt;&gt;"",AssociatesParks*100,"-1")</f>
        <v>-1</v>
      </c>
      <c r="F834"/>
      <c r="G834" s="308" t="s">
        <v>694</v>
      </c>
      <c r="H834" t="s">
        <v>1718</v>
      </c>
      <c r="I834">
        <v>31</v>
      </c>
      <c r="J834" s="306"/>
      <c r="K834" t="str">
        <f aca="true" t="shared" si="28" ref="K834:K865">"&lt;"&amp;G834&amp;" Question="""&amp;H834&amp;""" CIP2000Category ="""&amp;I834&amp;"""&gt;"&amp;IF(J834=1,"&lt;![CDATA[","")&amp;E834&amp;IF(J834=1,"]]&gt;","")&amp;"&lt;/"&amp;G834&amp;"&gt;"</f>
        <v>&lt;AssociatesParks Question="J1" CIP2000Category ="31"&gt;-1&lt;/AssociatesParks&gt;</v>
      </c>
    </row>
    <row r="835" spans="4:11" ht="12.75">
      <c r="D835" t="s">
        <v>695</v>
      </c>
      <c r="E835" s="268">
        <f>IF(BachelorsParks&lt;&gt;"",BachelorsParks*100,"-1")</f>
        <v>3.06</v>
      </c>
      <c r="F835"/>
      <c r="G835" s="308" t="s">
        <v>695</v>
      </c>
      <c r="H835" t="s">
        <v>1718</v>
      </c>
      <c r="I835">
        <v>31</v>
      </c>
      <c r="J835" s="306"/>
      <c r="K835" t="str">
        <f t="shared" si="28"/>
        <v>&lt;BachelorsParks Question="J1" CIP2000Category ="31"&gt;3.06&lt;/BachelorsParks&gt;</v>
      </c>
    </row>
    <row r="836" spans="4:11" ht="12.75">
      <c r="D836" t="s">
        <v>696</v>
      </c>
      <c r="E836" s="268" t="str">
        <f>IF(DiplomaPhilosophy&lt;&gt;"",DiplomaPhilosophy*100,"-1")</f>
        <v>-1</v>
      </c>
      <c r="F836"/>
      <c r="G836" s="308" t="s">
        <v>696</v>
      </c>
      <c r="H836" t="s">
        <v>1718</v>
      </c>
      <c r="I836">
        <v>38</v>
      </c>
      <c r="J836" s="306"/>
      <c r="K836" t="str">
        <f t="shared" si="28"/>
        <v>&lt;DiplomaPhilosophy Question="J1" CIP2000Category ="38"&gt;-1&lt;/DiplomaPhilosophy&gt;</v>
      </c>
    </row>
    <row r="837" spans="4:11" ht="12.75">
      <c r="D837" t="s">
        <v>697</v>
      </c>
      <c r="E837" s="268" t="str">
        <f>IF(AssociatesPhilosophy&lt;&gt;"",AssociatesPhilosophy*100,"-1")</f>
        <v>-1</v>
      </c>
      <c r="F837"/>
      <c r="G837" s="308" t="s">
        <v>697</v>
      </c>
      <c r="H837" t="s">
        <v>1718</v>
      </c>
      <c r="I837">
        <v>38</v>
      </c>
      <c r="J837" s="306"/>
      <c r="K837" t="str">
        <f t="shared" si="28"/>
        <v>&lt;AssociatesPhilosophy Question="J1" CIP2000Category ="38"&gt;-1&lt;/AssociatesPhilosophy&gt;</v>
      </c>
    </row>
    <row r="838" spans="4:11" ht="12.75">
      <c r="D838" t="s">
        <v>698</v>
      </c>
      <c r="E838" s="268">
        <f>IF(BachelorsPhilosophy&lt;&gt;"",BachelorsPhilosophy*100,"-1")</f>
        <v>2.2800000000000002</v>
      </c>
      <c r="F838"/>
      <c r="G838" s="308" t="s">
        <v>698</v>
      </c>
      <c r="H838" t="s">
        <v>1718</v>
      </c>
      <c r="I838">
        <v>38</v>
      </c>
      <c r="J838" s="306"/>
      <c r="K838" t="str">
        <f t="shared" si="28"/>
        <v>&lt;BachelorsPhilosophy Question="J1" CIP2000Category ="38"&gt;2.28&lt;/BachelorsPhilosophy&gt;</v>
      </c>
    </row>
    <row r="839" spans="4:11" ht="12.75">
      <c r="D839" t="s">
        <v>699</v>
      </c>
      <c r="E839" s="268" t="str">
        <f>IF(DiplomaTheology&lt;&gt;"",DiplomaTheology*100,"-1")</f>
        <v>-1</v>
      </c>
      <c r="F839"/>
      <c r="G839" s="308" t="s">
        <v>699</v>
      </c>
      <c r="H839" t="s">
        <v>1718</v>
      </c>
      <c r="I839">
        <v>39</v>
      </c>
      <c r="J839" s="306"/>
      <c r="K839" t="str">
        <f t="shared" si="28"/>
        <v>&lt;DiplomaTheology Question="J1" CIP2000Category ="39"&gt;-1&lt;/DiplomaTheology&gt;</v>
      </c>
    </row>
    <row r="840" spans="4:11" ht="12.75">
      <c r="D840" t="s">
        <v>700</v>
      </c>
      <c r="E840" s="268" t="str">
        <f>IF(AssociatesTheology&lt;&gt;"",AssociatesTheology*100,"-1")</f>
        <v>-1</v>
      </c>
      <c r="F840"/>
      <c r="G840" s="308" t="s">
        <v>700</v>
      </c>
      <c r="H840" t="s">
        <v>1718</v>
      </c>
      <c r="I840">
        <v>39</v>
      </c>
      <c r="J840" s="306"/>
      <c r="K840" t="str">
        <f t="shared" si="28"/>
        <v>&lt;AssociatesTheology Question="J1" CIP2000Category ="39"&gt;-1&lt;/AssociatesTheology&gt;</v>
      </c>
    </row>
    <row r="841" spans="4:11" ht="12.75">
      <c r="D841" t="s">
        <v>701</v>
      </c>
      <c r="E841" s="268" t="str">
        <f>IF(BachelorsTheology&lt;&gt;"",BachelorsTheology*100,"-1")</f>
        <v>-1</v>
      </c>
      <c r="F841"/>
      <c r="G841" s="308" t="s">
        <v>701</v>
      </c>
      <c r="H841" t="s">
        <v>1718</v>
      </c>
      <c r="I841">
        <v>39</v>
      </c>
      <c r="J841" s="306"/>
      <c r="K841" t="str">
        <f t="shared" si="28"/>
        <v>&lt;BachelorsTheology Question="J1" CIP2000Category ="39"&gt;-1&lt;/BachelorsTheology&gt;</v>
      </c>
    </row>
    <row r="842" spans="4:11" ht="12.75">
      <c r="D842" t="s">
        <v>702</v>
      </c>
      <c r="E842" s="268" t="str">
        <f>IF(DiplomaPhysicalSciences&lt;&gt;"",DiplomaPhysicalSciences*100,"-1")</f>
        <v>-1</v>
      </c>
      <c r="F842"/>
      <c r="G842" s="308" t="s">
        <v>702</v>
      </c>
      <c r="H842" t="s">
        <v>1718</v>
      </c>
      <c r="I842">
        <v>40</v>
      </c>
      <c r="J842" s="306"/>
      <c r="K842" t="str">
        <f t="shared" si="28"/>
        <v>&lt;DiplomaPhysicalSciences Question="J1" CIP2000Category ="40"&gt;-1&lt;/DiplomaPhysicalSciences&gt;</v>
      </c>
    </row>
    <row r="843" spans="4:11" ht="12.75">
      <c r="D843" t="s">
        <v>703</v>
      </c>
      <c r="E843" s="268" t="str">
        <f>IF(AssociatesPhysicalSciences&lt;&gt;"",AssociatesPhysicalSciences*100,"-1")</f>
        <v>-1</v>
      </c>
      <c r="F843"/>
      <c r="G843" s="308" t="s">
        <v>703</v>
      </c>
      <c r="H843" t="s">
        <v>1718</v>
      </c>
      <c r="I843">
        <v>40</v>
      </c>
      <c r="J843" s="306"/>
      <c r="K843" t="str">
        <f t="shared" si="28"/>
        <v>&lt;AssociatesPhysicalSciences Question="J1" CIP2000Category ="40"&gt;-1&lt;/AssociatesPhysicalSciences&gt;</v>
      </c>
    </row>
    <row r="844" spans="4:11" ht="12.75">
      <c r="D844" t="s">
        <v>704</v>
      </c>
      <c r="E844" s="268">
        <f>IF(BachelorsPhysicalSciences&lt;&gt;"",BachelorsPhysicalSciences*100,"-1")</f>
        <v>4.89</v>
      </c>
      <c r="F844"/>
      <c r="G844" s="308" t="s">
        <v>704</v>
      </c>
      <c r="H844" t="s">
        <v>1718</v>
      </c>
      <c r="I844">
        <v>40</v>
      </c>
      <c r="J844" s="306"/>
      <c r="K844" t="str">
        <f t="shared" si="28"/>
        <v>&lt;BachelorsPhysicalSciences Question="J1" CIP2000Category ="40"&gt;4.89&lt;/BachelorsPhysicalSciences&gt;</v>
      </c>
    </row>
    <row r="845" spans="4:11" ht="12.75">
      <c r="D845" t="s">
        <v>705</v>
      </c>
      <c r="E845" s="268" t="str">
        <f>IF(DiplomaScienceTech&lt;&gt;"",DiplomaScienceTech*100,"-1")</f>
        <v>-1</v>
      </c>
      <c r="F845"/>
      <c r="G845" s="308" t="s">
        <v>705</v>
      </c>
      <c r="H845" t="s">
        <v>1718</v>
      </c>
      <c r="I845">
        <v>41</v>
      </c>
      <c r="J845" s="306"/>
      <c r="K845" t="str">
        <f t="shared" si="28"/>
        <v>&lt;DiplomaScienceTech Question="J1" CIP2000Category ="41"&gt;-1&lt;/DiplomaScienceTech&gt;</v>
      </c>
    </row>
    <row r="846" spans="4:11" ht="12.75">
      <c r="D846" t="s">
        <v>706</v>
      </c>
      <c r="E846" s="268" t="str">
        <f>IF(AssociatesScienceTech&lt;&gt;"",AssociatesScienceTech*100,"-1")</f>
        <v>-1</v>
      </c>
      <c r="F846"/>
      <c r="G846" s="308" t="s">
        <v>706</v>
      </c>
      <c r="H846" t="s">
        <v>1718</v>
      </c>
      <c r="I846">
        <v>41</v>
      </c>
      <c r="J846" s="306"/>
      <c r="K846" t="str">
        <f t="shared" si="28"/>
        <v>&lt;AssociatesScienceTech Question="J1" CIP2000Category ="41"&gt;-1&lt;/AssociatesScienceTech&gt;</v>
      </c>
    </row>
    <row r="847" spans="4:11" ht="12.75">
      <c r="D847" t="s">
        <v>707</v>
      </c>
      <c r="E847" s="268" t="str">
        <f>IF(BachelorsScienceTech&lt;&gt;"",BachelorsScienceTech*100,"-1")</f>
        <v>-1</v>
      </c>
      <c r="F847"/>
      <c r="G847" s="308" t="s">
        <v>707</v>
      </c>
      <c r="H847" t="s">
        <v>1718</v>
      </c>
      <c r="I847">
        <v>41</v>
      </c>
      <c r="J847" s="306"/>
      <c r="K847" t="str">
        <f t="shared" si="28"/>
        <v>&lt;BachelorsScienceTech Question="J1" CIP2000Category ="41"&gt;-1&lt;/BachelorsScienceTech&gt;</v>
      </c>
    </row>
    <row r="848" spans="4:11" ht="12.75">
      <c r="D848" t="s">
        <v>708</v>
      </c>
      <c r="E848" s="268" t="str">
        <f>IF(DiplomaPsychology&lt;&gt;"",DiplomaPsychology*100,"-1")</f>
        <v>-1</v>
      </c>
      <c r="F848"/>
      <c r="G848" s="308" t="s">
        <v>708</v>
      </c>
      <c r="H848" t="s">
        <v>1718</v>
      </c>
      <c r="I848">
        <v>42</v>
      </c>
      <c r="J848" s="306"/>
      <c r="K848" t="str">
        <f t="shared" si="28"/>
        <v>&lt;DiplomaPsychology Question="J1" CIP2000Category ="42"&gt;-1&lt;/DiplomaPsychology&gt;</v>
      </c>
    </row>
    <row r="849" spans="4:11" ht="12.75">
      <c r="D849" t="s">
        <v>709</v>
      </c>
      <c r="E849" s="268" t="str">
        <f>IF(AssociatesPsychology&lt;&gt;"",AssociatesPsychology*100,"-1")</f>
        <v>-1</v>
      </c>
      <c r="F849"/>
      <c r="G849" s="308" t="s">
        <v>709</v>
      </c>
      <c r="H849" t="s">
        <v>1718</v>
      </c>
      <c r="I849">
        <v>42</v>
      </c>
      <c r="J849" s="306"/>
      <c r="K849" t="str">
        <f t="shared" si="28"/>
        <v>&lt;AssociatesPsychology Question="J1" CIP2000Category ="42"&gt;-1&lt;/AssociatesPsychology&gt;</v>
      </c>
    </row>
    <row r="850" spans="4:11" ht="12.75">
      <c r="D850" t="s">
        <v>710</v>
      </c>
      <c r="E850" s="268">
        <f>IF(BachelorsPsychology&lt;&gt;"",BachelorsPsychology*100,"-1")</f>
        <v>7.670000000000001</v>
      </c>
      <c r="F850"/>
      <c r="G850" s="308" t="s">
        <v>710</v>
      </c>
      <c r="H850" t="s">
        <v>1718</v>
      </c>
      <c r="I850">
        <v>42</v>
      </c>
      <c r="J850" s="306"/>
      <c r="K850" t="str">
        <f t="shared" si="28"/>
        <v>&lt;BachelorsPsychology Question="J1" CIP2000Category ="42"&gt;7.67&lt;/BachelorsPsychology&gt;</v>
      </c>
    </row>
    <row r="851" spans="4:11" ht="12.75">
      <c r="D851" t="s">
        <v>711</v>
      </c>
      <c r="E851" s="268" t="str">
        <f>IF(DiplomaSecurity&lt;&gt;"",DiplomaSecurity*100,"-1")</f>
        <v>-1</v>
      </c>
      <c r="F851"/>
      <c r="G851" s="308" t="s">
        <v>711</v>
      </c>
      <c r="H851" t="s">
        <v>1718</v>
      </c>
      <c r="I851">
        <v>43</v>
      </c>
      <c r="J851" s="306"/>
      <c r="K851" t="str">
        <f t="shared" si="28"/>
        <v>&lt;DiplomaSecurity Question="J1" CIP2000Category ="43"&gt;-1&lt;/DiplomaSecurity&gt;</v>
      </c>
    </row>
    <row r="852" spans="4:11" ht="12.75">
      <c r="D852" t="s">
        <v>712</v>
      </c>
      <c r="E852" s="268" t="str">
        <f>IF(AssociatesSecurity&lt;&gt;"",AssociatesSecurity*100,"-1")</f>
        <v>-1</v>
      </c>
      <c r="F852"/>
      <c r="G852" s="308" t="s">
        <v>712</v>
      </c>
      <c r="H852" t="s">
        <v>1718</v>
      </c>
      <c r="I852">
        <v>43</v>
      </c>
      <c r="J852" s="306"/>
      <c r="K852" t="str">
        <f t="shared" si="28"/>
        <v>&lt;AssociatesSecurity Question="J1" CIP2000Category ="43"&gt;-1&lt;/AssociatesSecurity&gt;</v>
      </c>
    </row>
    <row r="853" spans="4:11" ht="12.75">
      <c r="D853" t="s">
        <v>713</v>
      </c>
      <c r="E853" s="268" t="str">
        <f>IF(BachelorsSecurity&lt;&gt;"",BachelorsSecurity*100,"-1")</f>
        <v>-1</v>
      </c>
      <c r="F853"/>
      <c r="G853" s="308" t="s">
        <v>713</v>
      </c>
      <c r="H853" t="s">
        <v>1718</v>
      </c>
      <c r="I853">
        <v>43</v>
      </c>
      <c r="J853" s="306"/>
      <c r="K853" t="str">
        <f t="shared" si="28"/>
        <v>&lt;BachelorsSecurity Question="J1" CIP2000Category ="43"&gt;-1&lt;/BachelorsSecurity&gt;</v>
      </c>
    </row>
    <row r="854" spans="4:11" ht="12.75">
      <c r="D854" t="s">
        <v>714</v>
      </c>
      <c r="E854" s="268" t="str">
        <f>IF(DiplomaPublicAdministration&lt;&gt;"",DiplomaPublicAdministration*100,"-1")</f>
        <v>-1</v>
      </c>
      <c r="F854"/>
      <c r="G854" s="308" t="s">
        <v>714</v>
      </c>
      <c r="H854" t="s">
        <v>1718</v>
      </c>
      <c r="I854">
        <v>44</v>
      </c>
      <c r="J854" s="306"/>
      <c r="K854" t="str">
        <f t="shared" si="28"/>
        <v>&lt;DiplomaPublicAdministration Question="J1" CIP2000Category ="44"&gt;-1&lt;/DiplomaPublicAdministration&gt;</v>
      </c>
    </row>
    <row r="855" spans="4:11" ht="12.75">
      <c r="D855" t="s">
        <v>715</v>
      </c>
      <c r="E855" s="268" t="str">
        <f>IF(AssociatesPublicAdministration&lt;&gt;"",AssociatesPublicAdministration*100,"-1")</f>
        <v>-1</v>
      </c>
      <c r="F855"/>
      <c r="G855" s="308" t="s">
        <v>715</v>
      </c>
      <c r="H855" t="s">
        <v>1718</v>
      </c>
      <c r="I855">
        <v>44</v>
      </c>
      <c r="J855" s="306"/>
      <c r="K855" t="str">
        <f t="shared" si="28"/>
        <v>&lt;AssociatesPublicAdministration Question="J1" CIP2000Category ="44"&gt;-1&lt;/AssociatesPublicAdministration&gt;</v>
      </c>
    </row>
    <row r="856" spans="4:11" ht="12.75">
      <c r="D856" t="s">
        <v>716</v>
      </c>
      <c r="E856" s="268">
        <f>IF(BachelorsPublicAdministration&lt;&gt;"",BachelorsPublicAdministration*100,"-1")</f>
        <v>0.72</v>
      </c>
      <c r="F856"/>
      <c r="G856" s="308" t="s">
        <v>716</v>
      </c>
      <c r="H856" t="s">
        <v>1718</v>
      </c>
      <c r="I856">
        <v>44</v>
      </c>
      <c r="J856" s="306"/>
      <c r="K856" t="str">
        <f t="shared" si="28"/>
        <v>&lt;BachelorsPublicAdministration Question="J1" CIP2000Category ="44"&gt;0.72&lt;/BachelorsPublicAdministration&gt;</v>
      </c>
    </row>
    <row r="857" spans="4:11" ht="12.75">
      <c r="D857" t="s">
        <v>717</v>
      </c>
      <c r="E857" s="268" t="str">
        <f>IF(DiplomaSocialSciences&lt;&gt;"",DiplomaSocialSciences*100,"-1")</f>
        <v>-1</v>
      </c>
      <c r="F857"/>
      <c r="G857" s="308" t="s">
        <v>717</v>
      </c>
      <c r="H857" t="s">
        <v>1718</v>
      </c>
      <c r="I857">
        <v>45</v>
      </c>
      <c r="J857" s="306"/>
      <c r="K857" t="str">
        <f t="shared" si="28"/>
        <v>&lt;DiplomaSocialSciences Question="J1" CIP2000Category ="45"&gt;-1&lt;/DiplomaSocialSciences&gt;</v>
      </c>
    </row>
    <row r="858" spans="4:11" ht="12.75">
      <c r="D858" t="s">
        <v>718</v>
      </c>
      <c r="E858" s="268" t="str">
        <f>IF(AssociatesSocialSciences&lt;&gt;"",AssociatesSocialSciences*100,"-1")</f>
        <v>-1</v>
      </c>
      <c r="F858"/>
      <c r="G858" s="308" t="s">
        <v>718</v>
      </c>
      <c r="H858" t="s">
        <v>1718</v>
      </c>
      <c r="I858">
        <v>45</v>
      </c>
      <c r="J858" s="306"/>
      <c r="K858" t="str">
        <f t="shared" si="28"/>
        <v>&lt;AssociatesSocialSciences Question="J1" CIP2000Category ="45"&gt;-1&lt;/AssociatesSocialSciences&gt;</v>
      </c>
    </row>
    <row r="859" spans="4:11" ht="12.75">
      <c r="D859" t="s">
        <v>719</v>
      </c>
      <c r="E859" s="268">
        <f>IF(BachelorsSocialSciences&lt;&gt;"",BachelorsSocialSciences*100,"-1")</f>
        <v>23.5</v>
      </c>
      <c r="F859"/>
      <c r="G859" s="308" t="s">
        <v>719</v>
      </c>
      <c r="H859" t="s">
        <v>1718</v>
      </c>
      <c r="I859">
        <v>45</v>
      </c>
      <c r="J859" s="306"/>
      <c r="K859" t="str">
        <f t="shared" si="28"/>
        <v>&lt;BachelorsSocialSciences Question="J1" CIP2000Category ="45"&gt;23.5&lt;/BachelorsSocialSciences&gt;</v>
      </c>
    </row>
    <row r="860" spans="4:11" ht="12.75">
      <c r="D860" t="s">
        <v>720</v>
      </c>
      <c r="E860" s="268" t="str">
        <f>IF(DiplomaConstruction&lt;&gt;"",DiplomaConstruction*100,"-1")</f>
        <v>-1</v>
      </c>
      <c r="F860"/>
      <c r="G860" s="308" t="s">
        <v>720</v>
      </c>
      <c r="H860" t="s">
        <v>1718</v>
      </c>
      <c r="I860">
        <v>46</v>
      </c>
      <c r="J860" s="306"/>
      <c r="K860" t="str">
        <f t="shared" si="28"/>
        <v>&lt;DiplomaConstruction Question="J1" CIP2000Category ="46"&gt;-1&lt;/DiplomaConstruction&gt;</v>
      </c>
    </row>
    <row r="861" spans="4:11" ht="12.75">
      <c r="D861" t="s">
        <v>721</v>
      </c>
      <c r="E861" s="268" t="str">
        <f>IF(AssociatesConstruction&lt;&gt;"",AssociatesConstruction*100,"-1")</f>
        <v>-1</v>
      </c>
      <c r="F861"/>
      <c r="G861" s="308" t="s">
        <v>721</v>
      </c>
      <c r="H861" t="s">
        <v>1718</v>
      </c>
      <c r="I861">
        <v>46</v>
      </c>
      <c r="J861" s="306"/>
      <c r="K861" t="str">
        <f t="shared" si="28"/>
        <v>&lt;AssociatesConstruction Question="J1" CIP2000Category ="46"&gt;-1&lt;/AssociatesConstruction&gt;</v>
      </c>
    </row>
    <row r="862" spans="4:11" ht="12.75">
      <c r="D862" t="s">
        <v>722</v>
      </c>
      <c r="E862" s="268" t="str">
        <f>IF(BachelorsConstruction&lt;&gt;"",BachelorsConstruction*100,"-1")</f>
        <v>-1</v>
      </c>
      <c r="F862"/>
      <c r="G862" s="308" t="s">
        <v>722</v>
      </c>
      <c r="H862" t="s">
        <v>1718</v>
      </c>
      <c r="I862">
        <v>46</v>
      </c>
      <c r="J862" s="306"/>
      <c r="K862" t="str">
        <f t="shared" si="28"/>
        <v>&lt;BachelorsConstruction Question="J1" CIP2000Category ="46"&gt;-1&lt;/BachelorsConstruction&gt;</v>
      </c>
    </row>
    <row r="863" spans="4:11" ht="12.75">
      <c r="D863" t="s">
        <v>723</v>
      </c>
      <c r="E863" s="268" t="str">
        <f>IF(DiplomaMechanicTechnology&lt;&gt;"",DiplomaMechanicTechnology*100,"-1")</f>
        <v>-1</v>
      </c>
      <c r="F863"/>
      <c r="G863" s="308" t="s">
        <v>723</v>
      </c>
      <c r="H863" t="s">
        <v>1718</v>
      </c>
      <c r="I863">
        <v>47</v>
      </c>
      <c r="J863" s="306"/>
      <c r="K863" t="str">
        <f t="shared" si="28"/>
        <v>&lt;DiplomaMechanicTechnology Question="J1" CIP2000Category ="47"&gt;-1&lt;/DiplomaMechanicTechnology&gt;</v>
      </c>
    </row>
    <row r="864" spans="4:11" ht="12.75">
      <c r="D864" t="s">
        <v>724</v>
      </c>
      <c r="E864" s="268" t="str">
        <f>IF(AssociatesMechanicTechnology&lt;&gt;"",AssociatesMechanicTechnology*100,"-1")</f>
        <v>-1</v>
      </c>
      <c r="F864"/>
      <c r="G864" s="308" t="s">
        <v>724</v>
      </c>
      <c r="H864" t="s">
        <v>1718</v>
      </c>
      <c r="I864">
        <v>47</v>
      </c>
      <c r="J864" s="306"/>
      <c r="K864" t="str">
        <f t="shared" si="28"/>
        <v>&lt;AssociatesMechanicTechnology Question="J1" CIP2000Category ="47"&gt;-1&lt;/AssociatesMechanicTechnology&gt;</v>
      </c>
    </row>
    <row r="865" spans="4:11" ht="12.75">
      <c r="D865" t="s">
        <v>725</v>
      </c>
      <c r="E865" s="268" t="str">
        <f>IF(BachelorsMechanicTechnology&lt;&gt;"",BachelorsMechanicTechnology*100,"-1")</f>
        <v>-1</v>
      </c>
      <c r="F865"/>
      <c r="G865" s="308" t="s">
        <v>725</v>
      </c>
      <c r="H865" t="s">
        <v>1718</v>
      </c>
      <c r="I865">
        <v>47</v>
      </c>
      <c r="J865" s="306"/>
      <c r="K865" t="str">
        <f t="shared" si="28"/>
        <v>&lt;BachelorsMechanicTechnology Question="J1" CIP2000Category ="47"&gt;-1&lt;/BachelorsMechanicTechnology&gt;</v>
      </c>
    </row>
    <row r="866" spans="4:11" ht="12.75">
      <c r="D866" t="s">
        <v>726</v>
      </c>
      <c r="E866" s="268" t="str">
        <f>IF(DiplomaPrecisionProduction&lt;&gt;"",DiplomaPrecisionProduction*100,"-1")</f>
        <v>-1</v>
      </c>
      <c r="F866"/>
      <c r="G866" s="308" t="s">
        <v>726</v>
      </c>
      <c r="H866" t="s">
        <v>1718</v>
      </c>
      <c r="I866">
        <v>48</v>
      </c>
      <c r="J866" s="306"/>
      <c r="K866" t="str">
        <f aca="true" t="shared" si="29" ref="K866:K883">"&lt;"&amp;G866&amp;" Question="""&amp;H866&amp;""" CIP2000Category ="""&amp;I866&amp;"""&gt;"&amp;IF(J866=1,"&lt;![CDATA[","")&amp;E866&amp;IF(J866=1,"]]&gt;","")&amp;"&lt;/"&amp;G866&amp;"&gt;"</f>
        <v>&lt;DiplomaPrecisionProduction Question="J1" CIP2000Category ="48"&gt;-1&lt;/DiplomaPrecisionProduction&gt;</v>
      </c>
    </row>
    <row r="867" spans="4:11" ht="12.75">
      <c r="D867" t="s">
        <v>727</v>
      </c>
      <c r="E867" s="268" t="str">
        <f>IF(AssociatesPrecisionProduction&lt;&gt;"",AssociatesPrecisionProduction*100,"-1")</f>
        <v>-1</v>
      </c>
      <c r="F867"/>
      <c r="G867" s="308" t="s">
        <v>727</v>
      </c>
      <c r="H867" t="s">
        <v>1718</v>
      </c>
      <c r="I867">
        <v>48</v>
      </c>
      <c r="J867" s="306"/>
      <c r="K867" t="str">
        <f t="shared" si="29"/>
        <v>&lt;AssociatesPrecisionProduction Question="J1" CIP2000Category ="48"&gt;-1&lt;/AssociatesPrecisionProduction&gt;</v>
      </c>
    </row>
    <row r="868" spans="4:11" ht="12.75">
      <c r="D868" t="s">
        <v>728</v>
      </c>
      <c r="E868" s="268" t="str">
        <f>IF(BachelorsPrecisionProduction&lt;&gt;"",BachelorsPrecisionProduction*100,"-1")</f>
        <v>-1</v>
      </c>
      <c r="F868"/>
      <c r="G868" s="308" t="s">
        <v>728</v>
      </c>
      <c r="H868" t="s">
        <v>1718</v>
      </c>
      <c r="I868">
        <v>48</v>
      </c>
      <c r="J868" s="306"/>
      <c r="K868" t="str">
        <f t="shared" si="29"/>
        <v>&lt;BachelorsPrecisionProduction Question="J1" CIP2000Category ="48"&gt;-1&lt;/BachelorsPrecisionProduction&gt;</v>
      </c>
    </row>
    <row r="869" spans="4:11" ht="12.75">
      <c r="D869" t="s">
        <v>729</v>
      </c>
      <c r="E869" s="268" t="str">
        <f>IF(DiplomaTransportation&lt;&gt;"",DiplomaTransportation*100,"-1")</f>
        <v>-1</v>
      </c>
      <c r="F869"/>
      <c r="G869" s="308" t="s">
        <v>729</v>
      </c>
      <c r="H869" t="s">
        <v>1718</v>
      </c>
      <c r="I869">
        <v>49</v>
      </c>
      <c r="J869" s="306"/>
      <c r="K869" t="str">
        <f t="shared" si="29"/>
        <v>&lt;DiplomaTransportation Question="J1" CIP2000Category ="49"&gt;-1&lt;/DiplomaTransportation&gt;</v>
      </c>
    </row>
    <row r="870" spans="4:11" ht="12.75">
      <c r="D870" t="s">
        <v>730</v>
      </c>
      <c r="E870" s="268" t="str">
        <f>IF(AssociatesTransportation&lt;&gt;"",AssociatesTransportation*100,"-1")</f>
        <v>-1</v>
      </c>
      <c r="F870"/>
      <c r="G870" s="308" t="s">
        <v>730</v>
      </c>
      <c r="H870" t="s">
        <v>1718</v>
      </c>
      <c r="I870">
        <v>49</v>
      </c>
      <c r="J870" s="306"/>
      <c r="K870" t="str">
        <f t="shared" si="29"/>
        <v>&lt;AssociatesTransportation Question="J1" CIP2000Category ="49"&gt;-1&lt;/AssociatesTransportation&gt;</v>
      </c>
    </row>
    <row r="871" spans="4:11" ht="12.75">
      <c r="D871" t="s">
        <v>731</v>
      </c>
      <c r="E871" s="268" t="str">
        <f>IF(BachelorsTransportation&lt;&gt;"",BachelorsTransportation*100,"-1")</f>
        <v>-1</v>
      </c>
      <c r="F871"/>
      <c r="G871" s="308" t="s">
        <v>731</v>
      </c>
      <c r="H871" t="s">
        <v>1718</v>
      </c>
      <c r="I871">
        <v>49</v>
      </c>
      <c r="J871" s="306"/>
      <c r="K871" t="str">
        <f t="shared" si="29"/>
        <v>&lt;BachelorsTransportation Question="J1" CIP2000Category ="49"&gt;-1&lt;/BachelorsTransportation&gt;</v>
      </c>
    </row>
    <row r="872" spans="4:11" ht="12.75">
      <c r="D872" t="s">
        <v>732</v>
      </c>
      <c r="E872" s="268" t="str">
        <f>IF(DiplomaArts&lt;&gt;"",DiplomaArts*100,"-1")</f>
        <v>-1</v>
      </c>
      <c r="F872"/>
      <c r="G872" s="308" t="s">
        <v>732</v>
      </c>
      <c r="H872" t="s">
        <v>1718</v>
      </c>
      <c r="I872">
        <v>50</v>
      </c>
      <c r="J872" s="306"/>
      <c r="K872" t="str">
        <f t="shared" si="29"/>
        <v>&lt;DiplomaArts Question="J1" CIP2000Category ="50"&gt;-1&lt;/DiplomaArts&gt;</v>
      </c>
    </row>
    <row r="873" spans="4:11" ht="12.75">
      <c r="D873" t="s">
        <v>733</v>
      </c>
      <c r="E873" s="268" t="str">
        <f>IF(AssociatesArts&lt;&gt;"",AssociatesArts*100,"-1")</f>
        <v>-1</v>
      </c>
      <c r="F873"/>
      <c r="G873" s="308" t="s">
        <v>733</v>
      </c>
      <c r="H873" t="s">
        <v>1718</v>
      </c>
      <c r="I873">
        <v>50</v>
      </c>
      <c r="J873" s="306"/>
      <c r="K873" t="str">
        <f t="shared" si="29"/>
        <v>&lt;AssociatesArts Question="J1" CIP2000Category ="50"&gt;-1&lt;/AssociatesArts&gt;</v>
      </c>
    </row>
    <row r="874" spans="4:11" ht="12.75">
      <c r="D874" t="s">
        <v>734</v>
      </c>
      <c r="E874" s="268">
        <f>IF(BachelorsArts&lt;&gt;"",BachelorsArts*100,"-1")</f>
        <v>3.61</v>
      </c>
      <c r="F874"/>
      <c r="G874" s="308" t="s">
        <v>734</v>
      </c>
      <c r="H874" t="s">
        <v>1718</v>
      </c>
      <c r="I874">
        <v>50</v>
      </c>
      <c r="J874" s="306"/>
      <c r="K874" t="str">
        <f t="shared" si="29"/>
        <v>&lt;BachelorsArts Question="J1" CIP2000Category ="50"&gt;3.61&lt;/BachelorsArts&gt;</v>
      </c>
    </row>
    <row r="875" spans="4:11" ht="12.75">
      <c r="D875" t="s">
        <v>735</v>
      </c>
      <c r="E875" s="268" t="str">
        <f>IF(DiplomaHealth&lt;&gt;"",DiplomaHealth*100,"-1")</f>
        <v>-1</v>
      </c>
      <c r="F875"/>
      <c r="G875" s="308" t="s">
        <v>735</v>
      </c>
      <c r="H875" t="s">
        <v>1718</v>
      </c>
      <c r="I875">
        <v>51</v>
      </c>
      <c r="J875" s="306"/>
      <c r="K875" t="str">
        <f t="shared" si="29"/>
        <v>&lt;DiplomaHealth Question="J1" CIP2000Category ="51"&gt;-1&lt;/DiplomaHealth&gt;</v>
      </c>
    </row>
    <row r="876" spans="4:11" ht="12.75">
      <c r="D876" t="s">
        <v>736</v>
      </c>
      <c r="E876" s="268" t="str">
        <f>IF(AssociatesHealth&lt;&gt;"",AssociatesHealth*100,"-1")</f>
        <v>-1</v>
      </c>
      <c r="F876"/>
      <c r="G876" s="308" t="s">
        <v>736</v>
      </c>
      <c r="H876" t="s">
        <v>1718</v>
      </c>
      <c r="I876">
        <v>51</v>
      </c>
      <c r="J876" s="306"/>
      <c r="K876" t="str">
        <f t="shared" si="29"/>
        <v>&lt;AssociatesHealth Question="J1" CIP2000Category ="51"&gt;-1&lt;/AssociatesHealth&gt;</v>
      </c>
    </row>
    <row r="877" spans="4:11" ht="12.75">
      <c r="D877" t="s">
        <v>737</v>
      </c>
      <c r="E877" s="268" t="str">
        <f>IF(BachelorsHealth&lt;&gt;"",BachelorsHealth*100,"-1")</f>
        <v>-1</v>
      </c>
      <c r="F877"/>
      <c r="G877" s="308" t="s">
        <v>737</v>
      </c>
      <c r="H877" t="s">
        <v>1718</v>
      </c>
      <c r="I877">
        <v>51</v>
      </c>
      <c r="J877" s="306"/>
      <c r="K877" t="str">
        <f t="shared" si="29"/>
        <v>&lt;BachelorsHealth Question="J1" CIP2000Category ="51"&gt;-1&lt;/BachelorsHealth&gt;</v>
      </c>
    </row>
    <row r="878" spans="4:11" ht="12.75">
      <c r="D878" t="s">
        <v>738</v>
      </c>
      <c r="E878" s="268" t="str">
        <f>IF(DiplomaBusiness&lt;&gt;"",DiplomaBusiness*100,"-1")</f>
        <v>-1</v>
      </c>
      <c r="F878"/>
      <c r="G878" s="308" t="s">
        <v>738</v>
      </c>
      <c r="H878" t="s">
        <v>1718</v>
      </c>
      <c r="I878">
        <v>52</v>
      </c>
      <c r="J878" s="306"/>
      <c r="K878" t="str">
        <f t="shared" si="29"/>
        <v>&lt;DiplomaBusiness Question="J1" CIP2000Category ="52"&gt;-1&lt;/DiplomaBusiness&gt;</v>
      </c>
    </row>
    <row r="879" spans="4:11" ht="12.75">
      <c r="D879" t="s">
        <v>739</v>
      </c>
      <c r="E879" s="268" t="str">
        <f>IF(AssociatesBusiness&lt;&gt;"",AssociatesBusiness*100,"-1")</f>
        <v>-1</v>
      </c>
      <c r="F879"/>
      <c r="G879" s="308" t="s">
        <v>739</v>
      </c>
      <c r="H879" t="s">
        <v>1718</v>
      </c>
      <c r="I879">
        <v>52</v>
      </c>
      <c r="J879" s="306"/>
      <c r="K879" t="str">
        <f t="shared" si="29"/>
        <v>&lt;AssociatesBusiness Question="J1" CIP2000Category ="52"&gt;-1&lt;/AssociatesBusiness&gt;</v>
      </c>
    </row>
    <row r="880" spans="4:11" ht="12.75">
      <c r="D880" t="s">
        <v>740</v>
      </c>
      <c r="E880" s="268">
        <f>IF(BachelorsBusiness&lt;&gt;"",BachelorsBusiness*100,"-1")</f>
        <v>11</v>
      </c>
      <c r="F880"/>
      <c r="G880" s="308" t="s">
        <v>740</v>
      </c>
      <c r="H880" t="s">
        <v>1718</v>
      </c>
      <c r="I880">
        <v>52</v>
      </c>
      <c r="J880" s="306"/>
      <c r="K880" t="str">
        <f t="shared" si="29"/>
        <v>&lt;BachelorsBusiness Question="J1" CIP2000Category ="52"&gt;11&lt;/BachelorsBusiness&gt;</v>
      </c>
    </row>
    <row r="881" spans="4:11" ht="12.75">
      <c r="D881" t="s">
        <v>741</v>
      </c>
      <c r="E881" s="268" t="str">
        <f>IF(DiplomaHistory&lt;&gt;"",DiplomaHistory*100,"-1")</f>
        <v>-1</v>
      </c>
      <c r="F881"/>
      <c r="G881" s="308" t="s">
        <v>741</v>
      </c>
      <c r="H881" t="s">
        <v>1718</v>
      </c>
      <c r="I881">
        <v>54</v>
      </c>
      <c r="J881" s="306"/>
      <c r="K881" t="str">
        <f t="shared" si="29"/>
        <v>&lt;DiplomaHistory Question="J1" CIP2000Category ="54"&gt;-1&lt;/DiplomaHistory&gt;</v>
      </c>
    </row>
    <row r="882" spans="4:11" ht="12.75">
      <c r="D882" t="s">
        <v>742</v>
      </c>
      <c r="E882" s="268" t="str">
        <f>IF(AssociatesHistory&lt;&gt;"",AssociatesHistory*100,"-1")</f>
        <v>-1</v>
      </c>
      <c r="F882"/>
      <c r="G882" s="308" t="s">
        <v>742</v>
      </c>
      <c r="H882" t="s">
        <v>1718</v>
      </c>
      <c r="I882">
        <v>54</v>
      </c>
      <c r="J882" s="306"/>
      <c r="K882" t="str">
        <f t="shared" si="29"/>
        <v>&lt;AssociatesHistory Question="J1" CIP2000Category ="54"&gt;-1&lt;/AssociatesHistory&gt;</v>
      </c>
    </row>
    <row r="883" spans="4:11" ht="12.75">
      <c r="D883" t="s">
        <v>743</v>
      </c>
      <c r="E883" s="268">
        <f>IF(BachelorsHistory&lt;&gt;"",BachelorsHistory*100,"-1")</f>
        <v>8.32</v>
      </c>
      <c r="F883"/>
      <c r="G883" s="308" t="s">
        <v>743</v>
      </c>
      <c r="H883" t="s">
        <v>1718</v>
      </c>
      <c r="I883">
        <v>54</v>
      </c>
      <c r="J883" s="306"/>
      <c r="K883" t="str">
        <f t="shared" si="29"/>
        <v>&lt;BachelorsHistory Question="J1" CIP2000Category ="54"&gt;8.32&lt;/BachelorsHistory&gt;</v>
      </c>
    </row>
    <row r="884" spans="4:11" ht="12.75">
      <c r="D884" t="s">
        <v>744</v>
      </c>
      <c r="E884" s="268" t="str">
        <f>IF(DiplomaOther&lt;&gt;"",DiplomaOther*100,"-1")</f>
        <v>-1</v>
      </c>
      <c r="F884"/>
      <c r="G884" s="308" t="s">
        <v>744</v>
      </c>
      <c r="H884" t="s">
        <v>1718</v>
      </c>
      <c r="J884" s="306"/>
      <c r="K884" t="str">
        <f>"&lt;"&amp;G884&amp;" Question="""&amp;H884&amp;"""&gt;"&amp;IF(J884=1,"&lt;![CDATA[","")&amp;E884&amp;IF(J884=1,"]]&gt;","")&amp;"&lt;/"&amp;G884&amp;"&gt;"</f>
        <v>&lt;DiplomaOther Question="J1"&gt;-1&lt;/DiplomaOther&gt;</v>
      </c>
    </row>
    <row r="885" spans="4:11" ht="12.75">
      <c r="D885" t="s">
        <v>745</v>
      </c>
      <c r="E885" s="268" t="str">
        <f>IF(AssociatesOther&lt;&gt;"",AssociatesOther*100,"-1")</f>
        <v>-1</v>
      </c>
      <c r="F885"/>
      <c r="G885" s="308" t="s">
        <v>745</v>
      </c>
      <c r="H885" t="s">
        <v>1718</v>
      </c>
      <c r="J885" s="306"/>
      <c r="K885" t="str">
        <f>"&lt;"&amp;G885&amp;" Question="""&amp;H885&amp;"""&gt;"&amp;IF(J885=1,"&lt;![CDATA[","")&amp;E885&amp;IF(J885=1,"]]&gt;","")&amp;"&lt;/"&amp;G885&amp;"&gt;"</f>
        <v>&lt;AssociatesOther Question="J1"&gt;-1&lt;/AssociatesOther&gt;</v>
      </c>
    </row>
    <row r="886" spans="4:11" ht="12.75">
      <c r="D886" t="s">
        <v>746</v>
      </c>
      <c r="E886" s="268" t="str">
        <f>IF(BachelorsOther&lt;&gt;"",BachelorsOther*100,"-1")</f>
        <v>-1</v>
      </c>
      <c r="F886"/>
      <c r="G886" s="308" t="s">
        <v>746</v>
      </c>
      <c r="H886" t="s">
        <v>1718</v>
      </c>
      <c r="J886" s="306"/>
      <c r="K886" t="str">
        <f>"&lt;"&amp;G886&amp;" Question="""&amp;H886&amp;"""&gt;"&amp;IF(J886=1,"&lt;![CDATA[","")&amp;E886&amp;IF(J886=1,"]]&gt;","")&amp;"&lt;/"&amp;G886&amp;"&gt;"</f>
        <v>&lt;BachelorsOther Question="J1"&gt;-1&lt;/BachelorsOther&gt;</v>
      </c>
    </row>
    <row r="887" ht="12.75">
      <c r="K887" t="s">
        <v>334</v>
      </c>
    </row>
  </sheetData>
  <sheetProtection password="C780" sheet="1" objects="1" scenarios="1" selectLockedCells="1"/>
  <printOptions/>
  <pageMargins left="0.75" right="0.75" top="1" bottom="1" header="0.5" footer="0.5"/>
  <pageSetup horizontalDpi="600" verticalDpi="600" orientation="portrait" r:id="rId1"/>
  <ignoredErrors>
    <ignoredError sqref="E208" formula="1"/>
  </ignoredErrors>
</worksheet>
</file>

<file path=xl/worksheets/sheet2.xml><?xml version="1.0" encoding="utf-8"?>
<worksheet xmlns="http://schemas.openxmlformats.org/spreadsheetml/2006/main" xmlns:r="http://schemas.openxmlformats.org/officeDocument/2006/relationships">
  <dimension ref="A1:A888"/>
  <sheetViews>
    <sheetView zoomScalePageLayoutView="0" workbookViewId="0" topLeftCell="A1">
      <selection activeCell="A1" sqref="A1"/>
    </sheetView>
  </sheetViews>
  <sheetFormatPr defaultColWidth="9.140625" defaultRowHeight="12.75"/>
  <cols>
    <col min="8" max="8" width="34.421875" style="0" customWidth="1"/>
  </cols>
  <sheetData>
    <row r="1" ht="12.75">
      <c r="A1" t="s">
        <v>992</v>
      </c>
    </row>
    <row r="2" ht="12.75">
      <c r="A2" t="str">
        <f>'XML Calculations'!K2</f>
        <v>&lt;GeneralInformation Section="A"&gt;</v>
      </c>
    </row>
    <row r="3" ht="12.75">
      <c r="A3" t="str">
        <f>'XML Calculations'!K3</f>
        <v>&lt;ContactName Question="A0"&gt;&lt;![CDATA[Susan Boles]]&gt;&lt;/ContactName&gt;</v>
      </c>
    </row>
    <row r="4" ht="12.75">
      <c r="A4" t="str">
        <f>'XML Calculations'!K4</f>
        <v>&lt;ContactTitle Question="A0"&gt;&lt;![CDATA[Research Analyst]]&gt;&lt;/ContactTitle&gt;</v>
      </c>
    </row>
    <row r="5" ht="12.75">
      <c r="A5" t="str">
        <f>'XML Calculations'!K5</f>
        <v>&lt;ContactOffice Question="A0"&gt;&lt;![CDATA[Strategic Planning and Analysis]]&gt;&lt;/ContactOffice&gt;</v>
      </c>
    </row>
    <row r="6" ht="12.75">
      <c r="A6" t="str">
        <f>'XML Calculations'!K6</f>
        <v>&lt;ContactAddress1 Question="A0"&gt;&lt;![CDATA[109 Cary Street, Bell Hall]]&gt;&lt;/ContactAddress1&gt;</v>
      </c>
    </row>
    <row r="7" ht="12.75">
      <c r="A7" t="str">
        <f>'XML Calculations'!K7</f>
        <v>&lt;ContactAddress2 Question="A0"&gt;&lt;![CDATA[]]&gt;&lt;/ContactAddress2&gt;</v>
      </c>
    </row>
    <row r="8" ht="12.75">
      <c r="A8" t="str">
        <f>'XML Calculations'!K8</f>
        <v>&lt;ContactCity Question="A0"&gt;&lt;![CDATA[Williamsburg]]&gt;&lt;/ContactCity&gt;</v>
      </c>
    </row>
    <row r="9" ht="12.75">
      <c r="A9" t="str">
        <f>'XML Calculations'!K9</f>
        <v>&lt;ContactState Question="A0"&gt;Virginia&lt;/ContactState&gt;</v>
      </c>
    </row>
    <row r="10" ht="12.75">
      <c r="A10" t="str">
        <f>'XML Calculations'!K10</f>
        <v>&lt;ContactZip Question="A0"&gt;23187-8795&lt;/ContactZip&gt;</v>
      </c>
    </row>
    <row r="11" ht="12.75">
      <c r="A11" t="str">
        <f>'XML Calculations'!K11</f>
        <v>&lt;ContactCountry Question="A0"&gt;USA&lt;/ContactCountry&gt;</v>
      </c>
    </row>
    <row r="12" ht="12.75">
      <c r="A12" t="str">
        <f>'XML Calculations'!K12</f>
        <v>&lt;ContactPhone Question="A0"&gt;757-221-2081&lt;/ContactPhone&gt;</v>
      </c>
    </row>
    <row r="13" ht="12.75">
      <c r="A13" t="str">
        <f>'XML Calculations'!K13</f>
        <v>&lt;ContactFax Question="A0"&gt;757-221-2080&lt;/ContactFax&gt;</v>
      </c>
    </row>
    <row r="14" ht="12.75">
      <c r="A14" t="str">
        <f>'XML Calculations'!K14</f>
        <v>&lt;ContactEmail Question="A0"&gt;&lt;![CDATA[ospa@wm.edu]]&gt;&lt;/ContactEmail&gt;</v>
      </c>
    </row>
    <row r="15" ht="12.75">
      <c r="A15" t="str">
        <f>'XML Calculations'!K15</f>
        <v>&lt;CDSOnSite Question="A0"&gt;1&lt;/CDSOnSite&gt;</v>
      </c>
    </row>
    <row r="16" ht="12.75">
      <c r="A16" t="str">
        <f>'XML Calculations'!K16</f>
        <v>&lt;CDSOnSiteLink Question="A0"&gt;&lt;![CDATA[http://www.wm.edu/ir/CDS/cds.html]]&gt;&lt;/CDSOnSiteLink&gt;</v>
      </c>
    </row>
    <row r="17" ht="12.75">
      <c r="A17" t="str">
        <f>'XML Calculations'!K17</f>
        <v>&lt;CDSConcerns Question="A0A"&gt;&lt;![CDATA[]]&gt;&lt;/CDSConcerns&gt;</v>
      </c>
    </row>
    <row r="18" ht="12.75">
      <c r="A18" t="str">
        <f>'XML Calculations'!K18</f>
        <v>&lt;CollegeName Question="A1"&gt;&lt;![CDATA[The College of William and Mary in Virginia]]&gt;&lt;/CollegeName&gt;</v>
      </c>
    </row>
    <row r="19" ht="12.75">
      <c r="A19" t="str">
        <f>'XML Calculations'!K19</f>
        <v>&lt;Address1 Question="A1"&gt;&lt;![CDATA[PO Box 8795]]&gt;&lt;/Address1&gt;</v>
      </c>
    </row>
    <row r="20" ht="12.75">
      <c r="A20" t="str">
        <f>'XML Calculations'!K20</f>
        <v>&lt;Address2 Question="A1"&gt;&lt;![CDATA[]]&gt;&lt;/Address2&gt;</v>
      </c>
    </row>
    <row r="21" ht="12.75">
      <c r="A21" t="str">
        <f>'XML Calculations'!K21</f>
        <v>&lt;City Question="A1"&gt;&lt;![CDATA[Williamsburg]]&gt;&lt;/City&gt;</v>
      </c>
    </row>
    <row r="22" ht="12.75">
      <c r="A22" t="str">
        <f>'XML Calculations'!K22</f>
        <v>&lt;State Question="A1"&gt;Virginia&lt;/State&gt;</v>
      </c>
    </row>
    <row r="23" ht="12.75">
      <c r="A23" t="str">
        <f>'XML Calculations'!K23</f>
        <v>&lt;Zip Question="A1"&gt;23187-8795&lt;/Zip&gt;</v>
      </c>
    </row>
    <row r="24" ht="12.75">
      <c r="A24" t="str">
        <f>'XML Calculations'!K24</f>
        <v>&lt;Country Question="A1"&gt;USA&lt;/Country&gt;</v>
      </c>
    </row>
    <row r="25" ht="12.75">
      <c r="A25" t="str">
        <f>'XML Calculations'!K25</f>
        <v>&lt;StreetAddress1 Question="A1"&gt;&lt;![CDATA[]]&gt;&lt;/StreetAddress1&gt;</v>
      </c>
    </row>
    <row r="26" ht="12.75">
      <c r="A26" t="str">
        <f>'XML Calculations'!K26</f>
        <v>&lt;StreetAddress2 Question="A1"&gt;&lt;![CDATA[]]&gt;&lt;/StreetAddress2&gt;</v>
      </c>
    </row>
    <row r="27" ht="12.75">
      <c r="A27" t="str">
        <f>'XML Calculations'!K27</f>
        <v>&lt;StreetCity Question="A1"&gt;&lt;![CDATA[]]&gt;&lt;/StreetCity&gt;</v>
      </c>
    </row>
    <row r="28" ht="12.75">
      <c r="A28" t="str">
        <f>'XML Calculations'!K28</f>
        <v>&lt;StreetState Question="A1"&gt;&lt;/StreetState&gt;</v>
      </c>
    </row>
    <row r="29" ht="12.75">
      <c r="A29" t="str">
        <f>'XML Calculations'!K29</f>
        <v>&lt;StreetZip Question="A1"&gt;&lt;/StreetZip&gt;</v>
      </c>
    </row>
    <row r="30" ht="12.75">
      <c r="A30" t="str">
        <f>'XML Calculations'!K30</f>
        <v>&lt;StreetCountry Question="A1"&gt;&lt;/StreetCountry&gt;</v>
      </c>
    </row>
    <row r="31" ht="12.75">
      <c r="A31" t="str">
        <f>'XML Calculations'!K31</f>
        <v>&lt;GeneralPhone Question="A1"&gt;757-221-4000&lt;/GeneralPhone&gt;</v>
      </c>
    </row>
    <row r="32" ht="12.75">
      <c r="A32" t="str">
        <f>'XML Calculations'!K32</f>
        <v>&lt;HomePageURL Question="A1"&gt;&lt;![CDATA[http://www.wm.edu]]&gt;&lt;/HomePageURL&gt;</v>
      </c>
    </row>
    <row r="33" ht="12.75">
      <c r="A33" t="str">
        <f>'XML Calculations'!K33</f>
        <v>&lt;AdmissionsPhone Question="A1"&gt;757-221-4223&lt;/AdmissionsPhone&gt;</v>
      </c>
    </row>
    <row r="34" ht="12.75">
      <c r="A34" t="str">
        <f>'XML Calculations'!K34</f>
        <v>&lt;AdmissionsTollFreePhone Question="A1"&gt;NA&lt;/AdmissionsTollFreePhone&gt;</v>
      </c>
    </row>
    <row r="35" ht="12.75">
      <c r="A35" t="str">
        <f>'XML Calculations'!K35</f>
        <v>&lt;AdmissionsAddress1 Question="A1"&gt;&lt;![CDATA[Office of Admissions, PO Box 8795]]&gt;&lt;/AdmissionsAddress1&gt;</v>
      </c>
    </row>
    <row r="36" ht="12.75">
      <c r="A36" t="str">
        <f>'XML Calculations'!K36</f>
        <v>&lt;AdmissionsAddress2 Question="A1"&gt;&lt;![CDATA[]]&gt;&lt;/AdmissionsAddress2&gt;</v>
      </c>
    </row>
    <row r="37" ht="12.75">
      <c r="A37" t="str">
        <f>'XML Calculations'!K37</f>
        <v>&lt;AdmissionsCity Question="A1"&gt;&lt;![CDATA[Williamsburg]]&gt;&lt;/AdmissionsCity&gt;</v>
      </c>
    </row>
    <row r="38" ht="12.75">
      <c r="A38" t="str">
        <f>'XML Calculations'!K38</f>
        <v>&lt;AdmissionsState Question="A1"&gt;Virginia&lt;/AdmissionsState&gt;</v>
      </c>
    </row>
    <row r="39" ht="12.75">
      <c r="A39" t="str">
        <f>'XML Calculations'!K39</f>
        <v>&lt;AdmissionsZip Question="A1"&gt;23187-8795&lt;/AdmissionsZip&gt;</v>
      </c>
    </row>
    <row r="40" ht="12.75">
      <c r="A40" t="str">
        <f>'XML Calculations'!K40</f>
        <v>&lt;AdmissionsCountry Question="A1"&gt;USA&lt;/AdmissionsCountry&gt;</v>
      </c>
    </row>
    <row r="41" ht="12.75">
      <c r="A41" t="str">
        <f>'XML Calculations'!K41</f>
        <v>&lt;AdmissionsFax Question="A1"&gt;757-221-1242&lt;/AdmissionsFax&gt;</v>
      </c>
    </row>
    <row r="42" ht="12.75">
      <c r="A42" t="str">
        <f>'XML Calculations'!K42</f>
        <v>&lt;AdmissionsEmail Question="A1"&gt;&lt;![CDATA[admiss@wm.edu]]&gt;&lt;/AdmissionsEmail&gt;</v>
      </c>
    </row>
    <row r="43" ht="12.75">
      <c r="A43" t="str">
        <f>'XML Calculations'!K43</f>
        <v>&lt;OnlineApplicationURL Question="A1"&gt;&lt;![CDATA[http://www.wm.edu/admission/]]&gt;&lt;/OnlineApplicationURL&gt;</v>
      </c>
    </row>
    <row r="44" ht="12.75">
      <c r="A44" t="str">
        <f>'XML Calculations'!K44</f>
        <v>&lt;AltMailingAddress Question="A1"&gt;&lt;![CDATA[]]&gt;&lt;/AltMailingAddress&gt;</v>
      </c>
    </row>
    <row r="45" ht="12.75">
      <c r="A45" t="str">
        <f>'XML Calculations'!K45</f>
        <v>&lt;InstitutionalControl Question="A2"&gt;1&lt;/InstitutionalControl&gt;</v>
      </c>
    </row>
    <row r="46" ht="12.75">
      <c r="A46" t="str">
        <f>'XML Calculations'!K46</f>
        <v>&lt;CoedStatus Question="A3"&gt;1&lt;/CoedStatus&gt;</v>
      </c>
    </row>
    <row r="47" ht="12.75">
      <c r="A47" t="str">
        <f>'XML Calculations'!K47</f>
        <v>&lt;AcademicCalendar Question="A4"&gt;1&lt;/AcademicCalendar&gt;</v>
      </c>
    </row>
    <row r="48" ht="12.75">
      <c r="A48" t="str">
        <f>'XML Calculations'!K48</f>
        <v>&lt;AcademicCalendarExplain Question="A4"&gt;&lt;![CDATA[]]&gt;&lt;/AcademicCalendarExplain&gt;</v>
      </c>
    </row>
    <row r="49" ht="12.75">
      <c r="A49" t="str">
        <f>'XML Calculations'!K49</f>
        <v>&lt;DegreesOfferedCertificate Question="A5"&gt;False&lt;/DegreesOfferedCertificate&gt;</v>
      </c>
    </row>
    <row r="50" ht="12.75">
      <c r="A50" t="str">
        <f>'XML Calculations'!K50</f>
        <v>&lt;DegreesOfferedDiploma Question="A5"&gt;False&lt;/DegreesOfferedDiploma&gt;</v>
      </c>
    </row>
    <row r="51" ht="12.75">
      <c r="A51" t="str">
        <f>'XML Calculations'!K51</f>
        <v>&lt;DegreesOfferedAssociates Question="A5"&gt;False&lt;/DegreesOfferedAssociates&gt;</v>
      </c>
    </row>
    <row r="52" ht="12.75">
      <c r="A52" t="str">
        <f>'XML Calculations'!K52</f>
        <v>&lt;DegreesOfferedTransferAssociates Question="A5"&gt;False&lt;/DegreesOfferedTransferAssociates&gt;</v>
      </c>
    </row>
    <row r="53" ht="12.75">
      <c r="A53" t="str">
        <f>'XML Calculations'!K53</f>
        <v>&lt;DegreesOfferedTerminalAssociates Question="A5"&gt;False&lt;/DegreesOfferedTerminalAssociates&gt;</v>
      </c>
    </row>
    <row r="54" ht="12.75">
      <c r="A54" t="str">
        <f>'XML Calculations'!K54</f>
        <v>&lt;DegreesOfferedBachelors Question="A5"&gt;True&lt;/DegreesOfferedBachelors&gt;</v>
      </c>
    </row>
    <row r="55" ht="12.75">
      <c r="A55" t="str">
        <f>'XML Calculations'!K55</f>
        <v>&lt;DegreesOfferedPostbachelorCertificate Question="A5"&gt;False&lt;/DegreesOfferedPostbachelorCertificate&gt;</v>
      </c>
    </row>
    <row r="56" ht="12.75">
      <c r="A56" t="str">
        <f>'XML Calculations'!K56</f>
        <v>&lt;DegreesOfferedMasters Question="A5"&gt;True&lt;/DegreesOfferedMasters&gt;</v>
      </c>
    </row>
    <row r="57" ht="12.75">
      <c r="A57" t="str">
        <f>'XML Calculations'!K57</f>
        <v>&lt;DegreesOfferedPostMastersCertificate Question="A5"&gt;True&lt;/DegreesOfferedPostMastersCertificate&gt;</v>
      </c>
    </row>
    <row r="58" ht="12.75">
      <c r="A58" t="str">
        <f>'XML Calculations'!K58</f>
        <v>&lt;DegreesOfferedDoctoral Question="A5"&gt;True&lt;/DegreesOfferedDoctoral&gt;</v>
      </c>
    </row>
    <row r="59" ht="12.75">
      <c r="A59" t="str">
        <f>'XML Calculations'!K59</f>
        <v>&lt;DegreesOfferedFirstProfessional Question="A5"&gt;True&lt;/DegreesOfferedFirstProfessional&gt;</v>
      </c>
    </row>
    <row r="60" ht="12.75">
      <c r="A60" t="str">
        <f>'XML Calculations'!K60</f>
        <v>&lt;DegreesOfferedFirstProfessionalCertificate Question="A5"&gt;False&lt;/DegreesOfferedFirstProfessionalCertificate&gt;</v>
      </c>
    </row>
    <row r="61" ht="12.75">
      <c r="A61" t="str">
        <f>'XML Calculations'!K61</f>
        <v>&lt;/GeneralInformation&gt;</v>
      </c>
    </row>
    <row r="62" ht="12.75">
      <c r="A62" t="str">
        <f>'XML Calculations'!K62</f>
        <v>&lt;EnrollmentAndPersistence Section="B"&gt;</v>
      </c>
    </row>
    <row r="63" ht="12.75">
      <c r="A63" t="str">
        <f>'XML Calculations'!K63</f>
        <v>&lt;UndergradFreshmenFullTimeMale Question="B1"&gt;616&lt;/UndergradFreshmenFullTimeMale&gt;</v>
      </c>
    </row>
    <row r="64" ht="12.75">
      <c r="A64" t="str">
        <f>'XML Calculations'!K64</f>
        <v>&lt;UndergradFreshmenFullTimeFemale Question="B1"&gt;729&lt;/UndergradFreshmenFullTimeFemale&gt;</v>
      </c>
    </row>
    <row r="65" ht="12.75">
      <c r="A65" t="str">
        <f>'XML Calculations'!K65</f>
        <v>&lt;UndergradFreshmenPartTimeMale Question="B1"&gt;1&lt;/UndergradFreshmenPartTimeMale&gt;</v>
      </c>
    </row>
    <row r="66" ht="12.75">
      <c r="A66" t="str">
        <f>'XML Calculations'!K66</f>
        <v>&lt;UndergradFreshmenPartTimeFemale Question="B1"&gt;0&lt;/UndergradFreshmenPartTimeFemale&gt;</v>
      </c>
    </row>
    <row r="67" ht="12.75">
      <c r="A67" t="str">
        <f>'XML Calculations'!K67</f>
        <v>&lt;UndergradTransferFullTimeMale Question="B1"&gt;24&lt;/UndergradTransferFullTimeMale&gt;</v>
      </c>
    </row>
    <row r="68" ht="12.75">
      <c r="A68" t="str">
        <f>'XML Calculations'!K68</f>
        <v>&lt;UndergradTransferFullTimeFemale Question="B1"&gt;15&lt;/UndergradTransferFullTimeFemale&gt;</v>
      </c>
    </row>
    <row r="69" ht="12.75">
      <c r="A69" t="str">
        <f>'XML Calculations'!K69</f>
        <v>&lt;UndergradTransferPartTimeMale Question="B1"&gt;0&lt;/UndergradTransferPartTimeMale&gt;</v>
      </c>
    </row>
    <row r="70" ht="12.75">
      <c r="A70" t="str">
        <f>'XML Calculations'!K70</f>
        <v>&lt;UndergradTransferPartTimeFemale Question="B1"&gt;1&lt;/UndergradTransferPartTimeFemale&gt;</v>
      </c>
    </row>
    <row r="71" ht="12.75">
      <c r="A71" t="str">
        <f>'XML Calculations'!K71</f>
        <v>&lt;UndergradOtherFullTimeMale Question="B1"&gt;1983&lt;/UndergradOtherFullTimeMale&gt;</v>
      </c>
    </row>
    <row r="72" ht="12.75">
      <c r="A72" t="str">
        <f>'XML Calculations'!K72</f>
        <v>&lt;UndergradOtherFullTimeFemale Question="B1"&gt;2305&lt;/UndergradOtherFullTimeFemale&gt;</v>
      </c>
    </row>
    <row r="73" ht="12.75">
      <c r="A73" t="str">
        <f>'XML Calculations'!K73</f>
        <v>&lt;UndergradOtherPartTimeMale Question="B1"&gt;16&lt;/UndergradOtherPartTimeMale&gt;</v>
      </c>
    </row>
    <row r="74" ht="12.75">
      <c r="A74" t="str">
        <f>'XML Calculations'!K74</f>
        <v>&lt;UndergradOtherPartTimeFemale Question="B1"&gt;16&lt;/UndergradOtherPartTimeFemale&gt;</v>
      </c>
    </row>
    <row r="75" ht="12.75">
      <c r="A75" t="str">
        <f>'XML Calculations'!K75</f>
        <v>&lt;UndergradDegreeSeekingTotalFullTimeMale Question="B1"&gt;2623&lt;/UndergradDegreeSeekingTotalFullTimeMale&gt;</v>
      </c>
    </row>
    <row r="76" ht="12.75">
      <c r="A76" t="str">
        <f>'XML Calculations'!K76</f>
        <v>&lt;UndergradDegreeSeekingTotalFullTimeFemale Question="B1"&gt;3049&lt;/UndergradDegreeSeekingTotalFullTimeFemale&gt;</v>
      </c>
    </row>
    <row r="77" ht="12.75">
      <c r="A77" t="str">
        <f>'XML Calculations'!K77</f>
        <v>&lt;UndergradDegreeSeekingTotalPartTimeMale Question="B1"&gt;17&lt;/UndergradDegreeSeekingTotalPartTimeMale&gt;</v>
      </c>
    </row>
    <row r="78" ht="12.75">
      <c r="A78" t="str">
        <f>'XML Calculations'!K78</f>
        <v>&lt;UndergradDegreeSeekingTotalPartTimeFemale Question="B1"&gt;17&lt;/UndergradDegreeSeekingTotalPartTimeFemale&gt;</v>
      </c>
    </row>
    <row r="79" ht="12.75">
      <c r="A79" t="str">
        <f>'XML Calculations'!K79</f>
        <v>&lt;UndergradOtherNoDegreeFullTimeMale Question="B1"&gt;10&lt;/UndergradOtherNoDegreeFullTimeMale&gt;</v>
      </c>
    </row>
    <row r="80" ht="12.75">
      <c r="A80" t="str">
        <f>'XML Calculations'!K80</f>
        <v>&lt;UndergradOtherNoDegreeFullTimeFemale Question="B1"&gt;22&lt;/UndergradOtherNoDegreeFullTimeFemale&gt;</v>
      </c>
    </row>
    <row r="81" ht="12.75">
      <c r="A81" t="str">
        <f>'XML Calculations'!K81</f>
        <v>&lt;UndergradOtherNoDegreePartTimeMale Question="B1"&gt;24&lt;/UndergradOtherNoDegreePartTimeMale&gt;</v>
      </c>
    </row>
    <row r="82" ht="12.75">
      <c r="A82" t="str">
        <f>'XML Calculations'!K82</f>
        <v>&lt;UndergradOtherNoDegreePartTimeFemale Question="B1"&gt;30&lt;/UndergradOtherNoDegreePartTimeFemale&gt;</v>
      </c>
    </row>
    <row r="83" ht="12.75">
      <c r="A83" t="str">
        <f>'XML Calculations'!K83</f>
        <v>&lt;UndergradTotalFullTimeMale Question="B1"&gt;2633&lt;/UndergradTotalFullTimeMale&gt;</v>
      </c>
    </row>
    <row r="84" ht="12.75">
      <c r="A84" t="str">
        <f>'XML Calculations'!K84</f>
        <v>&lt;UndergradTotalFullTimeFemale Question="B1"&gt;3071&lt;/UndergradTotalFullTimeFemale&gt;</v>
      </c>
    </row>
    <row r="85" ht="12.75">
      <c r="A85" t="str">
        <f>'XML Calculations'!K85</f>
        <v>&lt;UndergradTotalPartTimeMale Question="B1"&gt;41&lt;/UndergradTotalPartTimeMale&gt;</v>
      </c>
    </row>
    <row r="86" ht="12.75">
      <c r="A86" t="str">
        <f>'XML Calculations'!K86</f>
        <v>&lt;UndergradTotalPartTimeFemale Question="B1"&gt;47&lt;/UndergradTotalPartTimeFemale&gt;</v>
      </c>
    </row>
    <row r="87" ht="12.75">
      <c r="A87" t="str">
        <f>'XML Calculations'!K87</f>
        <v>&lt;FirstProfessionalFirstTimeFullTimeMale Question="B1"&gt;102&lt;/FirstProfessionalFirstTimeFullTimeMale&gt;</v>
      </c>
    </row>
    <row r="88" ht="12.75">
      <c r="A88" t="str">
        <f>'XML Calculations'!K88</f>
        <v>&lt;FirstProfessionalFirstTimeFullTimeFemale Question="B1"&gt;114&lt;/FirstProfessionalFirstTimeFullTimeFemale&gt;</v>
      </c>
    </row>
    <row r="89" ht="12.75">
      <c r="A89" t="str">
        <f>'XML Calculations'!K89</f>
        <v>&lt;FirstProfessionalFirstTimePartTimeMale Question="B1"&gt;0&lt;/FirstProfessionalFirstTimePartTimeMale&gt;</v>
      </c>
    </row>
    <row r="90" ht="12.75">
      <c r="A90" t="str">
        <f>'XML Calculations'!K90</f>
        <v>&lt;FirstProfessionalFirstTimePartTimeFemale Question="B1"&gt;0&lt;/FirstProfessionalFirstTimePartTimeFemale&gt;</v>
      </c>
    </row>
    <row r="91" ht="12.75">
      <c r="A91" t="str">
        <f>'XML Calculations'!K91</f>
        <v>&lt;FirstProfessionalOtherFullTimeMale Question="B1"&gt;221&lt;/FirstProfessionalOtherFullTimeMale&gt;</v>
      </c>
    </row>
    <row r="92" ht="12.75">
      <c r="A92" t="str">
        <f>'XML Calculations'!K92</f>
        <v>&lt;FirstProfessionalOtherFullTimeFemale Question="B1"&gt;191&lt;/FirstProfessionalOtherFullTimeFemale&gt;</v>
      </c>
    </row>
    <row r="93" ht="12.75">
      <c r="A93" t="str">
        <f>'XML Calculations'!K93</f>
        <v>&lt;FirstProfessionalOtherPartTimeMale Question="B1"&gt;1&lt;/FirstProfessionalOtherPartTimeMale&gt;</v>
      </c>
    </row>
    <row r="94" ht="12.75">
      <c r="A94" t="str">
        <f>'XML Calculations'!K94</f>
        <v>&lt;FirstProfessionalOtherPartTimeFemale Question="B1"&gt;2&lt;/FirstProfessionalOtherPartTimeFemale&gt;</v>
      </c>
    </row>
    <row r="95" ht="12.75">
      <c r="A95" t="str">
        <f>'XML Calculations'!K95</f>
        <v>&lt;FirstProfessionalTotalFullTimeMale Question="B1"&gt;323&lt;/FirstProfessionalTotalFullTimeMale&gt;</v>
      </c>
    </row>
    <row r="96" ht="12.75">
      <c r="A96" t="str">
        <f>'XML Calculations'!K96</f>
        <v>&lt;FirstProfessionalTotalFullTimeFemale Question="B1"&gt;305&lt;/FirstProfessionalTotalFullTimeFemale&gt;</v>
      </c>
    </row>
    <row r="97" ht="12.75">
      <c r="A97" t="str">
        <f>'XML Calculations'!K97</f>
        <v>&lt;FirstProfessionalTotalPartTimeMale Question="B1"&gt;1&lt;/FirstProfessionalTotalPartTimeMale&gt;</v>
      </c>
    </row>
    <row r="98" ht="12.75">
      <c r="A98" t="str">
        <f>'XML Calculations'!K98</f>
        <v>&lt;FirstProfessionalTotalPartTimeFemale Question="B1"&gt;2&lt;/FirstProfessionalTotalPartTimeFemale&gt;</v>
      </c>
    </row>
    <row r="99" ht="12.75">
      <c r="A99" t="str">
        <f>'XML Calculations'!K99</f>
        <v>&lt;GradFirstTimeFullTimeMale Question="B1"&gt;160&lt;/GradFirstTimeFullTimeMale&gt;</v>
      </c>
    </row>
    <row r="100" ht="12.75">
      <c r="A100" t="str">
        <f>'XML Calculations'!K100</f>
        <v>&lt;GradFirstTimeFullTimeFemale Question="B1"&gt;207&lt;/GradFirstTimeFullTimeFemale&gt;</v>
      </c>
    </row>
    <row r="101" ht="12.75">
      <c r="A101" t="str">
        <f>'XML Calculations'!K101</f>
        <v>&lt;GradFirstTimePartTimeMale Question="B1"&gt;44&lt;/GradFirstTimePartTimeMale&gt;</v>
      </c>
    </row>
    <row r="102" ht="12.75">
      <c r="A102" t="str">
        <f>'XML Calculations'!K102</f>
        <v>&lt;GradFirstTimePartTimeFemale Question="B1"&gt;37&lt;/GradFirstTimePartTimeFemale&gt;</v>
      </c>
    </row>
    <row r="103" ht="12.75">
      <c r="A103" t="str">
        <f>'XML Calculations'!K103</f>
        <v>&lt;GradOtherFullTimeMale Question="B1"&gt;289&lt;/GradOtherFullTimeMale&gt;</v>
      </c>
    </row>
    <row r="104" ht="12.75">
      <c r="A104" t="str">
        <f>'XML Calculations'!K104</f>
        <v>&lt;GradOtherFullTimeFemale Question="B1"&gt;257&lt;/GradOtherFullTimeFemale&gt;</v>
      </c>
    </row>
    <row r="105" ht="12.75">
      <c r="A105" t="str">
        <f>'XML Calculations'!K105</f>
        <v>&lt;GradOtherPartTimeMale Question="B1"&gt;131&lt;/GradOtherPartTimeMale&gt;</v>
      </c>
    </row>
    <row r="106" ht="12.75">
      <c r="A106" t="str">
        <f>'XML Calculations'!K106</f>
        <v>&lt;GradOtherPartTimeFemale Question="B1"&gt;174&lt;/GradOtherPartTimeFemale&gt;</v>
      </c>
    </row>
    <row r="107" ht="12.75">
      <c r="A107" t="str">
        <f>'XML Calculations'!K107</f>
        <v>&lt;GradOtherNoDegreeFullTimeMale Question="B1"&gt;0&lt;/GradOtherNoDegreeFullTimeMale&gt;</v>
      </c>
    </row>
    <row r="108" ht="12.75">
      <c r="A108" t="str">
        <f>'XML Calculations'!K108</f>
        <v>&lt;GradOtherNoDegreeFullTimeFemale Question="B1"&gt;0&lt;/GradOtherNoDegreeFullTimeFemale&gt;</v>
      </c>
    </row>
    <row r="109" ht="12.75">
      <c r="A109" t="str">
        <f>'XML Calculations'!K109</f>
        <v>&lt;GradOtherNoDegreePartTimeMale Question="B1"&gt;14&lt;/GradOtherNoDegreePartTimeMale&gt;</v>
      </c>
    </row>
    <row r="110" ht="12.75">
      <c r="A110" t="str">
        <f>'XML Calculations'!K110</f>
        <v>&lt;GradOtherNoDegreePartTimeFemale Question="B1"&gt;59&lt;/GradOtherNoDegreePartTimeFemale&gt;</v>
      </c>
    </row>
    <row r="111" ht="12.75">
      <c r="A111" t="str">
        <f>'XML Calculations'!K111</f>
        <v>&lt;GradTotalFullTimeMale Question="B1"&gt;449&lt;/GradTotalFullTimeMale&gt;</v>
      </c>
    </row>
    <row r="112" ht="12.75">
      <c r="A112" t="str">
        <f>'XML Calculations'!K112</f>
        <v>&lt;GradTotalFullTimeFemale Question="B1"&gt;464&lt;/GradTotalFullTimeFemale&gt;</v>
      </c>
    </row>
    <row r="113" ht="12.75">
      <c r="A113" t="str">
        <f>'XML Calculations'!K113</f>
        <v>&lt;GradTotalPartTimeMale Question="B1"&gt;189&lt;/GradTotalPartTimeMale&gt;</v>
      </c>
    </row>
    <row r="114" ht="12.75">
      <c r="A114" t="str">
        <f>'XML Calculations'!K114</f>
        <v>&lt;GradTotalPartTimeFemale Question="B1"&gt;270&lt;/GradTotalPartTimeFemale&gt;</v>
      </c>
    </row>
    <row r="115" ht="12.75">
      <c r="A115" t="str">
        <f>'XML Calculations'!K115</f>
        <v>&lt;UndergradTotalStudents Question="B1"&gt;5792&lt;/UndergradTotalStudents&gt;</v>
      </c>
    </row>
    <row r="116" ht="12.75">
      <c r="A116" t="str">
        <f>'XML Calculations'!K116</f>
        <v>&lt;GradTotalStudents Question="B1"&gt;2003&lt;/GradTotalStudents&gt;</v>
      </c>
    </row>
    <row r="117" ht="12.75">
      <c r="A117" t="str">
        <f>'XML Calculations'!K117</f>
        <v>&lt;TotalStudents Question="B1"&gt;7795&lt;/TotalStudents&gt;</v>
      </c>
    </row>
    <row r="118" ht="12.75">
      <c r="A118" t="str">
        <f>'XML Calculations'!K118</f>
        <v>&lt;FreshmenNonresidentAlien Question="B2"&gt;41&lt;/FreshmenNonresidentAlien&gt;</v>
      </c>
    </row>
    <row r="119" ht="12.75">
      <c r="A119" t="str">
        <f>'XML Calculations'!K119</f>
        <v>&lt;UndergradDegreeSeekingNonresidentAlien Question="B2"&gt;115&lt;/UndergradDegreeSeekingNonresidentAlien&gt;</v>
      </c>
    </row>
    <row r="120" ht="12.75">
      <c r="A120" t="str">
        <f>'XML Calculations'!K120</f>
        <v>&lt;UndergradTotalNonresidentAlien Question="B2"&gt;137&lt;/UndergradTotalNonresidentAlien&gt;</v>
      </c>
    </row>
    <row r="121" ht="12.75">
      <c r="A121" t="str">
        <f>'XML Calculations'!K121</f>
        <v>&lt;FreshmenBlack Question="B2"&gt;95&lt;/FreshmenBlack&gt;</v>
      </c>
    </row>
    <row r="122" ht="12.75">
      <c r="A122" t="str">
        <f>'XML Calculations'!K122</f>
        <v>&lt;UndergradDegreeSeekingBlack Question="B2"&gt;384&lt;/UndergradDegreeSeekingBlack&gt;</v>
      </c>
    </row>
    <row r="123" ht="12.75">
      <c r="A123" t="str">
        <f>'XML Calculations'!K123</f>
        <v>&lt;UndergradTotalBlack Question="B2"&gt;386&lt;/UndergradTotalBlack&gt;</v>
      </c>
    </row>
    <row r="124" ht="12.75">
      <c r="A124" t="str">
        <f>'XML Calculations'!K124</f>
        <v>&lt;FreshmenNativeAmerican Question="B2"&gt;14&lt;/FreshmenNativeAmerican&gt;</v>
      </c>
    </row>
    <row r="125" ht="12.75">
      <c r="A125" t="str">
        <f>'XML Calculations'!K125</f>
        <v>&lt;UndergradDegreeSeekingNativeAmerican Question="B2"&gt;42&lt;/UndergradDegreeSeekingNativeAmerican&gt;</v>
      </c>
    </row>
    <row r="126" ht="12.75">
      <c r="A126" t="str">
        <f>'XML Calculations'!K126</f>
        <v>&lt;UndergradTotalNativeAmerican Question="B2"&gt;42&lt;/UndergradTotalNativeAmerican&gt;</v>
      </c>
    </row>
    <row r="127" ht="12.75">
      <c r="A127" t="str">
        <f>'XML Calculations'!K127</f>
        <v>&lt;FreshmenAsian Question="B2"&gt;115&lt;/FreshmenAsian&gt;</v>
      </c>
    </row>
    <row r="128" ht="12.75">
      <c r="A128" t="str">
        <f>'XML Calculations'!K128</f>
        <v>&lt;UndergradDegreeSeekingAsian Question="B2"&gt;421&lt;/UndergradDegreeSeekingAsian&gt;</v>
      </c>
    </row>
    <row r="129" ht="12.75">
      <c r="A129" t="str">
        <f>'XML Calculations'!K129</f>
        <v>&lt;UndergradTotalAsian Question="B2"&gt;426&lt;/UndergradTotalAsian&gt;</v>
      </c>
    </row>
    <row r="130" ht="12.75">
      <c r="A130" t="str">
        <f>'XML Calculations'!K130</f>
        <v>&lt;FreshmenHispanic Question="B2"&gt;78&lt;/FreshmenHispanic&gt;</v>
      </c>
    </row>
    <row r="131" ht="12.75">
      <c r="A131" t="str">
        <f>'XML Calculations'!K131</f>
        <v>&lt;UndergradDegreeSeekingHispanic Question="B2"&gt;322&lt;/UndergradDegreeSeekingHispanic&gt;</v>
      </c>
    </row>
    <row r="132" ht="12.75">
      <c r="A132" t="str">
        <f>'XML Calculations'!K132</f>
        <v>&lt;UndergradTotalHispanic Question="B2"&gt;325&lt;/UndergradTotalHispanic&gt;</v>
      </c>
    </row>
    <row r="133" ht="12.75">
      <c r="A133" t="str">
        <f>'XML Calculations'!K133</f>
        <v>&lt;FreshmenWhite Question="B2"&gt;728&lt;/FreshmenWhite&gt;</v>
      </c>
    </row>
    <row r="134" ht="12.75">
      <c r="A134" t="str">
        <f>'XML Calculations'!K134</f>
        <v>&lt;UndergradDegreeSeekingWhite Question="B2"&gt;3660&lt;/UndergradDegreeSeekingWhite&gt;</v>
      </c>
    </row>
    <row r="135" ht="12.75">
      <c r="A135" t="str">
        <f>'XML Calculations'!K135</f>
        <v>&lt;UndergradTotalWhite Question="B2"&gt;3710&lt;/UndergradTotalWhite&gt;</v>
      </c>
    </row>
    <row r="136" ht="12.75">
      <c r="A136" t="str">
        <f>'XML Calculations'!K136</f>
        <v>&lt;FreshmenRaceUnknown Question="B2"&gt;275&lt;/FreshmenRaceUnknown&gt;</v>
      </c>
    </row>
    <row r="137" ht="12.75">
      <c r="A137" t="str">
        <f>'XML Calculations'!K137</f>
        <v>&lt;UndergradDegreeSeekingRaceUnknown Question="B2"&gt;762&lt;/UndergradDegreeSeekingRaceUnknown&gt;</v>
      </c>
    </row>
    <row r="138" ht="12.75">
      <c r="A138" t="str">
        <f>'XML Calculations'!K138</f>
        <v>&lt;UndergradTotalRaceUnknown Question="B2"&gt;766&lt;/UndergradTotalRaceUnknown&gt;</v>
      </c>
    </row>
    <row r="139" ht="12.75">
      <c r="A139" t="str">
        <f>'XML Calculations'!K139</f>
        <v>&lt;FreshmenTotal Question="B2"&gt;1346&lt;/FreshmenTotal&gt;</v>
      </c>
    </row>
    <row r="140" ht="12.75">
      <c r="A140" t="str">
        <f>'XML Calculations'!K140</f>
        <v>&lt;UndergradTotalDegreeSeeking Question="B2"&gt;5706&lt;/UndergradTotalDegreeSeeking&gt;</v>
      </c>
    </row>
    <row r="141" ht="12.75">
      <c r="A141" t="str">
        <f>'XML Calculations'!K141</f>
        <v>&lt;UndergradTotalStudents2 Question="B2"&gt;5792&lt;/UndergradTotalStudents2&gt;</v>
      </c>
    </row>
    <row r="142" ht="12.75">
      <c r="A142" t="str">
        <f>'XML Calculations'!K142</f>
        <v>&lt;DegreesAwardedCertificateDiploma Question="B3"&gt;-1&lt;/DegreesAwardedCertificateDiploma&gt;</v>
      </c>
    </row>
    <row r="143" ht="12.75">
      <c r="A143" t="str">
        <f>'XML Calculations'!K143</f>
        <v>&lt;DegreesAwardedAssociates Question="B3"&gt;-1&lt;/DegreesAwardedAssociates&gt;</v>
      </c>
    </row>
    <row r="144" ht="12.75">
      <c r="A144" t="str">
        <f>'XML Calculations'!K144</f>
        <v>&lt;DegreesAwardedBachelors Question="B3"&gt;1376&lt;/DegreesAwardedBachelors&gt;</v>
      </c>
    </row>
    <row r="145" ht="12.75">
      <c r="A145" t="str">
        <f>'XML Calculations'!K145</f>
        <v>&lt;DegreesAwardedPostBachelorsCertificates Question="B3"&gt;-1&lt;/DegreesAwardedPostBachelorsCertificates&gt;</v>
      </c>
    </row>
    <row r="146" ht="12.75">
      <c r="A146" t="str">
        <f>'XML Calculations'!K146</f>
        <v>&lt;DegreesAwardedMasters Question="B3"&gt;464&lt;/DegreesAwardedMasters&gt;</v>
      </c>
    </row>
    <row r="147" ht="12.75">
      <c r="A147" t="str">
        <f>'XML Calculations'!K147</f>
        <v>&lt;DegreesAwardedPostMasters Question="B3"&gt;12&lt;/DegreesAwardedPostMasters&gt;</v>
      </c>
    </row>
    <row r="148" ht="12.75">
      <c r="A148" t="str">
        <f>'XML Calculations'!K148</f>
        <v>&lt;DegreesAwardedDoctoral Question="B3"&gt;54&lt;/DegreesAwardedDoctoral&gt;</v>
      </c>
    </row>
    <row r="149" ht="12.75">
      <c r="A149" t="str">
        <f>'XML Calculations'!K149</f>
        <v>&lt;DegreesAwardedFirstProfessionalDegrees Question="B3"&gt;198&lt;/DegreesAwardedFirstProfessionalDegrees&gt;</v>
      </c>
    </row>
    <row r="150" ht="12.75">
      <c r="A150" t="str">
        <f>'XML Calculations'!K150</f>
        <v>&lt;DegreesAwardedFirstProfessionalCertificates Question="B3"&gt;-1&lt;/DegreesAwardedFirstProfessionalCertificates&gt;</v>
      </c>
    </row>
    <row r="151" ht="12.75">
      <c r="A151" t="str">
        <f>'XML Calculations'!K151</f>
        <v>&lt;FourYearCohortYear&gt;2001&lt;/FourYearCohortYear&gt;</v>
      </c>
    </row>
    <row r="152" ht="12.75">
      <c r="A152" t="str">
        <f>'XML Calculations'!K152</f>
        <v>&lt;FourYearCohortInitial Question="B4"&gt;1359&lt;/FourYearCohortInitial&gt;</v>
      </c>
    </row>
    <row r="153" ht="12.75">
      <c r="A153" t="str">
        <f>'XML Calculations'!K153</f>
        <v>&lt;FourYearCohortExclusions Question="B5"&gt;1&lt;/FourYearCohortExclusions&gt;</v>
      </c>
    </row>
    <row r="154" ht="12.75">
      <c r="A154" t="str">
        <f>'XML Calculations'!K154</f>
        <v>&lt;FourYearCohortFinal Question="B6"&gt;1358&lt;/FourYearCohortFinal&gt;</v>
      </c>
    </row>
    <row r="155" ht="12.75">
      <c r="A155" t="str">
        <f>'XML Calculations'!K155</f>
        <v>&lt;FourYearCohortGraduatedIn4Years Question="B7"&gt;1140&lt;/FourYearCohortGraduatedIn4Years&gt;</v>
      </c>
    </row>
    <row r="156" ht="12.75">
      <c r="A156" t="str">
        <f>'XML Calculations'!K156</f>
        <v>&lt;FourYearCohortGraduatedIn4To5Years Question="B8"&gt;92&lt;/FourYearCohortGraduatedIn4To5Years&gt;</v>
      </c>
    </row>
    <row r="157" ht="12.75">
      <c r="A157" t="str">
        <f>'XML Calculations'!K157</f>
        <v>&lt;FourYearCohortGraduatedIn5To6Years Question="B9"&gt;11&lt;/FourYearCohortGraduatedIn5To6Years&gt;</v>
      </c>
    </row>
    <row r="158" ht="12.75">
      <c r="A158" t="str">
        <f>'XML Calculations'!K158</f>
        <v>&lt;FourYearCohortGraduatedIn6YearsTotal Question="B10"&gt;1243&lt;/FourYearCohortGraduatedIn6YearsTotal&gt;</v>
      </c>
    </row>
    <row r="159" ht="12.75">
      <c r="A159" t="str">
        <f>'XML Calculations'!K159</f>
        <v>&lt;FourYearCohortGraduationRate Question="B11"&gt;91.53&lt;/FourYearCohortGraduationRate&gt;</v>
      </c>
    </row>
    <row r="160" ht="12.75">
      <c r="A160" t="str">
        <f>'XML Calculations'!K160</f>
        <v>&lt;TwoYearCohortYear&gt;-1&lt;/TwoYearCohortYear&gt;</v>
      </c>
    </row>
    <row r="161" ht="12.75">
      <c r="A161" t="str">
        <f>'XML Calculations'!K161</f>
        <v>&lt;TwoYearCohortInitial Question="B12"&gt;-1&lt;/TwoYearCohortInitial&gt;</v>
      </c>
    </row>
    <row r="162" ht="12.75">
      <c r="A162" t="str">
        <f>'XML Calculations'!K162</f>
        <v>&lt;TwoYearCohortExclusions Question="B13"&gt;-1&lt;/TwoYearCohortExclusions&gt;</v>
      </c>
    </row>
    <row r="163" ht="12.75">
      <c r="A163" t="str">
        <f>'XML Calculations'!K163</f>
        <v>&lt;TwoYearCohortFinal Question="B14"&gt;-1&lt;/TwoYearCohortFinal&gt;</v>
      </c>
    </row>
    <row r="164" ht="12.75">
      <c r="A164" t="str">
        <f>'XML Calculations'!K164</f>
        <v>&lt;TwoYearCohortGraduatedUnder2Years Question="B15"&gt;-1&lt;/TwoYearCohortGraduatedUnder2Years&gt;</v>
      </c>
    </row>
    <row r="165" ht="12.75">
      <c r="A165" t="str">
        <f>'XML Calculations'!K165</f>
        <v>&lt;TwoYearCohortGraduatedUnder2Years150PercentTime Question="B16"&gt;-1&lt;/TwoYearCohortGraduatedUnder2Years150PercentTime&gt;</v>
      </c>
    </row>
    <row r="166" ht="12.75">
      <c r="A166" t="str">
        <f>'XML Calculations'!K166</f>
        <v>&lt;TwoYearCohortGraduated2To4Years Question="B17"&gt;-1&lt;/TwoYearCohortGraduated2To4Years&gt;</v>
      </c>
    </row>
    <row r="167" ht="12.75">
      <c r="A167" t="str">
        <f>'XML Calculations'!K167</f>
        <v>&lt;TwoYearCohortGraduated2To4Years150PercentTime Question="B18"&gt;-1&lt;/TwoYearCohortGraduated2To4Years150PercentTime&gt;</v>
      </c>
    </row>
    <row r="168" ht="12.75">
      <c r="A168" t="str">
        <f>'XML Calculations'!K168</f>
        <v>&lt;TwoYearCohortTransfersToOtherInstitutions Question="B19"&gt;-1&lt;/TwoYearCohortTransfersToOtherInstitutions&gt;</v>
      </c>
    </row>
    <row r="169" ht="12.75">
      <c r="A169" t="str">
        <f>'XML Calculations'!K169</f>
        <v>&lt;TwoYearCohortTransfers2YearInstitutions Question="B20"&gt;-1&lt;/TwoYearCohortTransfers2YearInstitutions&gt;</v>
      </c>
    </row>
    <row r="170" ht="12.75">
      <c r="A170" t="str">
        <f>'XML Calculations'!K170</f>
        <v>&lt;TwoYearCohortTransfers4YearInstitutions Question="B21"&gt;-1&lt;/TwoYearCohortTransfers4YearInstitutions&gt;</v>
      </c>
    </row>
    <row r="171" ht="12.75">
      <c r="A171" t="str">
        <f>'XML Calculations'!K171</f>
        <v>&lt;FreshmanRetention Question="B22"&gt;95&lt;/FreshmanRetention&gt;</v>
      </c>
    </row>
    <row r="172" ht="12.75">
      <c r="A172" t="str">
        <f>'XML Calculations'!K172</f>
        <v>&lt;/EnrollmentAndPersistence&gt;</v>
      </c>
    </row>
    <row r="173" ht="12.75">
      <c r="A173" t="str">
        <f>'XML Calculations'!K173</f>
        <v>&lt;FreshmanAdmission Section="C"&gt;</v>
      </c>
    </row>
    <row r="174" ht="12.75">
      <c r="A174" t="str">
        <f>'XML Calculations'!K174</f>
        <v>&lt;FreshmanAppliedMale Question="C1"&gt;3930&lt;/FreshmanAppliedMale&gt;</v>
      </c>
    </row>
    <row r="175" ht="12.75">
      <c r="A175" t="str">
        <f>'XML Calculations'!K175</f>
        <v>&lt;FreshmanAppliedFemale Question="C1"&gt;6923&lt;/FreshmanAppliedFemale&gt;</v>
      </c>
    </row>
    <row r="176" ht="12.75">
      <c r="A176" t="str">
        <f>'XML Calculations'!K176</f>
        <v>&lt;FreshmanAdmittedMale Question="C1"&gt;1713&lt;/FreshmanAdmittedMale&gt;</v>
      </c>
    </row>
    <row r="177" ht="12.75">
      <c r="A177" t="str">
        <f>'XML Calculations'!K177</f>
        <v>&lt;FreshmanAdmittedFemale Question="C1"&gt;1942&lt;/FreshmanAdmittedFemale&gt;</v>
      </c>
    </row>
    <row r="178" ht="12.75">
      <c r="A178" t="str">
        <f>'XML Calculations'!K178</f>
        <v>&lt;FreshmanEnrolledFullTimeMale Question="C1"&gt;616&lt;/FreshmanEnrolledFullTimeMale&gt;</v>
      </c>
    </row>
    <row r="179" ht="12.75">
      <c r="A179" t="str">
        <f>'XML Calculations'!K179</f>
        <v>&lt;FreshmanEnrolledPartTimeMale Question="C1"&gt;1&lt;/FreshmanEnrolledPartTimeMale&gt;</v>
      </c>
    </row>
    <row r="180" ht="12.75">
      <c r="A180" t="str">
        <f>'XML Calculations'!K180</f>
        <v>&lt;FreshmanEnrolledFullTimeFemale Question="C1"&gt;729&lt;/FreshmanEnrolledFullTimeFemale&gt;</v>
      </c>
    </row>
    <row r="181" ht="12.75">
      <c r="A181" t="str">
        <f>'XML Calculations'!K181</f>
        <v>&lt;FreshmanEnrolledPartTimeFemale Question="C1"&gt;0&lt;/FreshmanEnrolledPartTimeFemale&gt;</v>
      </c>
    </row>
    <row r="182" ht="12.75">
      <c r="A182" t="str">
        <f>'XML Calculations'!K182</f>
        <v>&lt;WaitListPolicy Question="C2"&gt;1&lt;/WaitListPolicy&gt;</v>
      </c>
    </row>
    <row r="183" ht="12.75">
      <c r="A183" t="str">
        <f>'XML Calculations'!K183</f>
        <v>&lt;WaitListQualifiedApplicants Question="C2"&gt;2402&lt;/WaitListQualifiedApplicants&gt;</v>
      </c>
    </row>
    <row r="184" ht="12.75">
      <c r="A184" t="str">
        <f>'XML Calculations'!K184</f>
        <v>&lt;WaitListPlacesAccepted Question="C2"&gt;1101&lt;/WaitListPlacesAccepted&gt;</v>
      </c>
    </row>
    <row r="185" ht="12.75">
      <c r="A185" t="str">
        <f>'XML Calculations'!K185</f>
        <v>&lt;WaitListAdmitted Question="C2"&gt;62&lt;/WaitListAdmitted&gt;</v>
      </c>
    </row>
    <row r="186" ht="12.75">
      <c r="A186" t="str">
        <f>'XML Calculations'!K186</f>
        <v>&lt;WaitListRanked Question="C2"&gt;0&lt;/WaitListRanked&gt;</v>
      </c>
    </row>
    <row r="187" ht="12.75">
      <c r="A187" t="str">
        <f>'XML Calculations'!K187</f>
        <v>&lt;WaitListRanksReleasedToStudents Question="C2"&gt;-1&lt;/WaitListRanksReleasedToStudents&gt;</v>
      </c>
    </row>
    <row r="188" ht="12.75">
      <c r="A188" t="str">
        <f>'XML Calculations'!K188</f>
        <v>&lt;WaitListRanksReleasedToCounselors Question="C2"&gt;-1&lt;/WaitListRanksReleasedToCounselors&gt;</v>
      </c>
    </row>
    <row r="189" ht="12.75">
      <c r="A189" t="str">
        <f>'XML Calculations'!K189</f>
        <v>&lt;HighSchoolDiplomaRequirement Question="C3"&gt;2&lt;/HighSchoolDiplomaRequirement&gt;</v>
      </c>
    </row>
    <row r="190" ht="12.75">
      <c r="A190" t="str">
        <f>'XML Calculations'!K190</f>
        <v>&lt;CollegePrepRequirement Question="C4"&gt;2&lt;/CollegePrepRequirement&gt;</v>
      </c>
    </row>
    <row r="191" ht="12.75">
      <c r="A191" t="str">
        <f>'XML Calculations'!K191</f>
        <v>&lt;RequiredUnitsTotal Question="C5"&gt;-1&lt;/RequiredUnitsTotal&gt;</v>
      </c>
    </row>
    <row r="192" ht="12.75">
      <c r="A192" t="str">
        <f>'XML Calculations'!K192</f>
        <v>&lt;RecommendedUnitsTotal Question="C5"&gt;-1&lt;/RecommendedUnitsTotal&gt;</v>
      </c>
    </row>
    <row r="193" ht="12.75">
      <c r="A193" t="str">
        <f>'XML Calculations'!K193</f>
        <v>&lt;RequiredUnitsEnglish Question="C5"&gt;-1&lt;/RequiredUnitsEnglish&gt;</v>
      </c>
    </row>
    <row r="194" ht="12.75">
      <c r="A194" t="str">
        <f>'XML Calculations'!K194</f>
        <v>&lt;RecommendedUnitsEnglish Question="C5"&gt;4&lt;/RecommendedUnitsEnglish&gt;</v>
      </c>
    </row>
    <row r="195" ht="12.75">
      <c r="A195" t="str">
        <f>'XML Calculations'!K195</f>
        <v>&lt;RequiredUnitsMath Question="C5"&gt;-1&lt;/RequiredUnitsMath&gt;</v>
      </c>
    </row>
    <row r="196" ht="12.75">
      <c r="A196" t="str">
        <f>'XML Calculations'!K196</f>
        <v>&lt;RecommendedUnitsMath Question="C5"&gt;4&lt;/RecommendedUnitsMath&gt;</v>
      </c>
    </row>
    <row r="197" ht="12.75">
      <c r="A197" t="str">
        <f>'XML Calculations'!K197</f>
        <v>&lt;RequiredUnitsScience Question="C5"&gt;-1&lt;/RequiredUnitsScience&gt;</v>
      </c>
    </row>
    <row r="198" ht="12.75">
      <c r="A198" t="str">
        <f>'XML Calculations'!K198</f>
        <v>&lt;RecommendedUnitsScience Question="C5"&gt;4&lt;/RecommendedUnitsScience&gt;</v>
      </c>
    </row>
    <row r="199" ht="12.75">
      <c r="A199" t="str">
        <f>'XML Calculations'!K199</f>
        <v>&lt;RequiredUnitsScienceLab Question="C5"&gt;-1&lt;/RequiredUnitsScienceLab&gt;</v>
      </c>
    </row>
    <row r="200" ht="12.75">
      <c r="A200" t="str">
        <f>'XML Calculations'!K200</f>
        <v>&lt;RecommendedUnitsScienceLab Question="C5"&gt;3&lt;/RecommendedUnitsScienceLab&gt;</v>
      </c>
    </row>
    <row r="201" ht="12.75">
      <c r="A201" t="str">
        <f>'XML Calculations'!K201</f>
        <v>&lt;RequiredUnitsForeignLanguage Question="C5"&gt;-1&lt;/RequiredUnitsForeignLanguage&gt;</v>
      </c>
    </row>
    <row r="202" ht="12.75">
      <c r="A202" t="str">
        <f>'XML Calculations'!K202</f>
        <v>&lt;RecommendedUnitsForeignLanguage Question="C5"&gt;4&lt;/RecommendedUnitsForeignLanguage&gt;</v>
      </c>
    </row>
    <row r="203" ht="12.75">
      <c r="A203" t="str">
        <f>'XML Calculations'!K203</f>
        <v>&lt;RequiredUnitsSocialStudies Question="C5"&gt;-1&lt;/RequiredUnitsSocialStudies&gt;</v>
      </c>
    </row>
    <row r="204" ht="12.75">
      <c r="A204" t="str">
        <f>'XML Calculations'!K204</f>
        <v>&lt;RecommendedUnitsSocialStudies Question="C5"&gt;4&lt;/RecommendedUnitsSocialStudies&gt;</v>
      </c>
    </row>
    <row r="205" ht="12.75">
      <c r="A205" t="str">
        <f>'XML Calculations'!K205</f>
        <v>&lt;RequiredUnitsHistory Question="C5"&gt;-1&lt;/RequiredUnitsHistory&gt;</v>
      </c>
    </row>
    <row r="206" ht="12.75">
      <c r="A206" t="str">
        <f>'XML Calculations'!K206</f>
        <v>&lt;RecommendedUnitsHistory Question="C5"&gt;-1&lt;/RecommendedUnitsHistory&gt;</v>
      </c>
    </row>
    <row r="207" ht="12.75">
      <c r="A207" t="str">
        <f>'XML Calculations'!K207</f>
        <v>&lt;RequiredUnitsElectives Question="C5"&gt;-1&lt;/RequiredUnitsElectives&gt;</v>
      </c>
    </row>
    <row r="208" ht="12.75">
      <c r="A208" t="str">
        <f>'XML Calculations'!K208</f>
        <v>&lt;RecommendedUnitsElectives Question="C5"&gt;-1&lt;/RecommendedUnitsElectives&gt;</v>
      </c>
    </row>
    <row r="209" ht="12.75">
      <c r="A209" t="str">
        <f>'XML Calculations'!K209</f>
        <v>&lt;RequiredUnitsComputerScience Question="C5"&gt;-1&lt;/RequiredUnitsComputerScience&gt;</v>
      </c>
    </row>
    <row r="210" ht="12.75">
      <c r="A210" t="str">
        <f>'XML Calculations'!K210</f>
        <v>&lt;RecommendedUnitsComputerScience Question="C5"&gt;-1&lt;/RecommendedUnitsComputerScience&gt;</v>
      </c>
    </row>
    <row r="211" ht="12.75">
      <c r="A211" t="str">
        <f>'XML Calculations'!K211</f>
        <v>&lt;RequiredUnitsArts Question="C5"&gt;-1&lt;/RequiredUnitsArts&gt;</v>
      </c>
    </row>
    <row r="212" ht="12.75">
      <c r="A212" t="str">
        <f>'XML Calculations'!K212</f>
        <v>&lt;RecommendedUnitsArts Question="C5"&gt;-1&lt;/RecommendedUnitsArts&gt;</v>
      </c>
    </row>
    <row r="213" ht="12.75">
      <c r="A213" t="str">
        <f>'XML Calculations'!K213</f>
        <v>&lt;OtherUnits Question="C5"&gt;&lt;![CDATA[]]&gt;&lt;/OtherUnits&gt;</v>
      </c>
    </row>
    <row r="214" ht="12.75">
      <c r="A214" t="str">
        <f>'XML Calculations'!K214</f>
        <v>&lt;RequiredUnitsOther Question="C5"&gt;-1&lt;/RequiredUnitsOther&gt;</v>
      </c>
    </row>
    <row r="215" ht="12.75">
      <c r="A215" t="str">
        <f>'XML Calculations'!K215</f>
        <v>&lt;RecommendedUnitsOther Question="C5"&gt;-1&lt;/RecommendedUnitsOther&gt;</v>
      </c>
    </row>
    <row r="216" ht="12.75">
      <c r="A216" t="str">
        <f>'XML Calculations'!K216</f>
        <v>&lt;OpenAdmissions Question="C6"&gt;0&lt;/OpenAdmissions&gt;</v>
      </c>
    </row>
    <row r="217" ht="12.75">
      <c r="A217" t="str">
        <f>'XML Calculations'!K217</f>
        <v>&lt;OpenButSelectiveForOutOfState Question="C6"&gt;0&lt;/OpenButSelectiveForOutOfState&gt;</v>
      </c>
    </row>
    <row r="218" ht="12.75">
      <c r="A218" t="str">
        <f>'XML Calculations'!K218</f>
        <v>&lt;OpenButSelectiveForSomePrograms Question="C6"&gt;0&lt;/OpenButSelectiveForSomePrograms&gt;</v>
      </c>
    </row>
    <row r="219" ht="12.75">
      <c r="A219" t="str">
        <f>'XML Calculations'!K219</f>
        <v>&lt;OpenButOtherSelectionCriteria Question="C6"&gt;&lt;![CDATA[]]&gt;&lt;/OpenButOtherSelectionCriteria&gt;</v>
      </c>
    </row>
    <row r="220" ht="12.75">
      <c r="A220" t="str">
        <f>'XML Calculations'!K220</f>
        <v>&lt;AdmissionSelectionAcademicRigorHighSchoolRecord Question="C7"&gt;1&lt;/AdmissionSelectionAcademicRigorHighSchoolRecord&gt;</v>
      </c>
    </row>
    <row r="221" ht="12.75">
      <c r="A221" t="str">
        <f>'XML Calculations'!K221</f>
        <v>&lt;AdmissionSelectionAcademicClassRank Question="C7"&gt;1&lt;/AdmissionSelectionAcademicClassRank&gt;</v>
      </c>
    </row>
    <row r="222" ht="12.75">
      <c r="A222" t="str">
        <f>'XML Calculations'!K222</f>
        <v>&lt;AdmissionSelectionAcademicGPA Question="C7"&gt;1&lt;/AdmissionSelectionAcademicGPA&gt;</v>
      </c>
    </row>
    <row r="223" ht="12.75">
      <c r="A223" t="str">
        <f>'XML Calculations'!K223</f>
        <v>&lt;AdmissionSelectionAcademicStandardizedTestScores Question="C7"&gt;1&lt;/AdmissionSelectionAcademicStandardizedTestScores&gt;</v>
      </c>
    </row>
    <row r="224" ht="12.75">
      <c r="A224" t="str">
        <f>'XML Calculations'!K224</f>
        <v>&lt;AdmissionSelectionAcademicApplicationEssay Question="C7"&gt;1&lt;/AdmissionSelectionAcademicApplicationEssay&gt;</v>
      </c>
    </row>
    <row r="225" ht="12.75">
      <c r="A225" t="str">
        <f>'XML Calculations'!K225</f>
        <v>&lt;AdmissionSelectionAcademicRecommendations Question="C7"&gt;1&lt;/AdmissionSelectionAcademicRecommendations&gt;</v>
      </c>
    </row>
    <row r="226" ht="12.75">
      <c r="A226" t="str">
        <f>'XML Calculations'!K226</f>
        <v>&lt;AdmissionSelectionNonAcademicInterview Question="C7"&gt;3&lt;/AdmissionSelectionNonAcademicInterview&gt;</v>
      </c>
    </row>
    <row r="227" ht="12.75">
      <c r="A227" t="str">
        <f>'XML Calculations'!K227</f>
        <v>&lt;AdmissionSelectionNonAcademicExtracurrics Question="C7"&gt;1&lt;/AdmissionSelectionNonAcademicExtracurrics&gt;</v>
      </c>
    </row>
    <row r="228" ht="12.75">
      <c r="A228" t="str">
        <f>'XML Calculations'!K228</f>
        <v>&lt;AdmissionSelectionNonAcademicTalent Question="C7"&gt;1&lt;/AdmissionSelectionNonAcademicTalent&gt;</v>
      </c>
    </row>
    <row r="229" ht="12.75">
      <c r="A229" t="str">
        <f>'XML Calculations'!K229</f>
        <v>&lt;AdmissionSelectionNonAcademicCharacter Question="C7"&gt;1&lt;/AdmissionSelectionNonAcademicCharacter&gt;</v>
      </c>
    </row>
    <row r="230" ht="12.75">
      <c r="A230" t="str">
        <f>'XML Calculations'!K230</f>
        <v>&lt;AdmissionSelectionNonAcademicFirstGeneration Question="C7"&gt;3&lt;/AdmissionSelectionNonAcademicFirstGeneration&gt;</v>
      </c>
    </row>
    <row r="231" ht="12.75">
      <c r="A231" t="str">
        <f>'XML Calculations'!K231</f>
        <v>&lt;AdmissionSelectionNonAcademicAlumni Question="C7"&gt;3&lt;/AdmissionSelectionNonAcademicAlumni&gt;</v>
      </c>
    </row>
    <row r="232" ht="12.75">
      <c r="A232" t="str">
        <f>'XML Calculations'!K232</f>
        <v>&lt;AdmissionSelectionNonAcademicGeographicalResidence Question="C7"&gt;3&lt;/AdmissionSelectionNonAcademicGeographicalResidence&gt;</v>
      </c>
    </row>
    <row r="233" ht="12.75">
      <c r="A233" t="str">
        <f>'XML Calculations'!K233</f>
        <v>&lt;AdmissionSelectionNonAcademicStateResidence Question="C7"&gt;1&lt;/AdmissionSelectionNonAcademicStateResidence&gt;</v>
      </c>
    </row>
    <row r="234" ht="12.75">
      <c r="A234" t="str">
        <f>'XML Calculations'!K234</f>
        <v>&lt;AdmissionSelectionNonAcademicReligion Question="C7"&gt;4&lt;/AdmissionSelectionNonAcademicReligion&gt;</v>
      </c>
    </row>
    <row r="235" ht="12.75">
      <c r="A235" t="str">
        <f>'XML Calculations'!K235</f>
        <v>&lt;AdmissionSelectionNonAcademicRaceEthnicity Question="C7"&gt;3&lt;/AdmissionSelectionNonAcademicRaceEthnicity&gt;</v>
      </c>
    </row>
    <row r="236" ht="12.75">
      <c r="A236" t="str">
        <f>'XML Calculations'!K236</f>
        <v>&lt;AdmissionSelectionNonAcademicVolunteerWork Question="C7"&gt;3&lt;/AdmissionSelectionNonAcademicVolunteerWork&gt;</v>
      </c>
    </row>
    <row r="237" ht="12.75">
      <c r="A237" t="str">
        <f>'XML Calculations'!K237</f>
        <v>&lt;AdmissionSelectionNonAcademicWorkExperience Question="C7"&gt;3&lt;/AdmissionSelectionNonAcademicWorkExperience&gt;</v>
      </c>
    </row>
    <row r="238" ht="12.75">
      <c r="A238" t="str">
        <f>'XML Calculations'!K238</f>
        <v>&lt;AdmissionSelectionNonAcademicInterestLevel Question="C7"&gt;4&lt;/AdmissionSelectionNonAcademicInterestLevel&gt;</v>
      </c>
    </row>
    <row r="239" ht="12.75">
      <c r="A239" t="str">
        <f>'XML Calculations'!K239</f>
        <v>&lt;SATOrACT Question="C8A"&gt;1&lt;/SATOrACT&gt;</v>
      </c>
    </row>
    <row r="240" ht="12.75">
      <c r="A240" t="str">
        <f>'XML Calculations'!K240</f>
        <v>&lt;SATACTTestPolicySATOrACT Question="C8A"&gt;1&lt;/SATACTTestPolicySATOrACT&gt;</v>
      </c>
    </row>
    <row r="241" ht="12.75">
      <c r="A241" t="str">
        <f>'XML Calculations'!K241</f>
        <v>&lt;SATACTTestPolicyACTOnly Question="C8A"&gt;-1&lt;/SATACTTestPolicyACTOnly&gt;</v>
      </c>
    </row>
    <row r="242" ht="12.75">
      <c r="A242" t="str">
        <f>'XML Calculations'!K242</f>
        <v>&lt;SATACTTestPolicySATOnly Question="C8A"&gt;-1&lt;/SATACTTestPolicySATOnly&gt;</v>
      </c>
    </row>
    <row r="243" ht="12.75">
      <c r="A243" t="str">
        <f>'XML Calculations'!K243</f>
        <v>&lt;SATACTTestPolicySATSubjectOrACT Question="C8A"&gt;-1&lt;/SATACTTestPolicySATSubjectOrACT&gt;</v>
      </c>
    </row>
    <row r="244" ht="12.75">
      <c r="A244" t="str">
        <f>'XML Calculations'!K244</f>
        <v>&lt;SATACTTestPolicySATSubjectOnly Question="C8A"&gt;4&lt;/SATACTTestPolicySATSubjectOnly&gt;</v>
      </c>
    </row>
    <row r="245" ht="12.75">
      <c r="A245" t="str">
        <f>'XML Calculations'!K245</f>
        <v>&lt;ACTTestPolicyWriting Question="C8B"&gt;3&lt;/ACTTestPolicyWriting&gt;</v>
      </c>
    </row>
    <row r="246" ht="12.75">
      <c r="A246" t="str">
        <f>'XML Calculations'!K246</f>
        <v>&lt;SATACTWritingComponentUseForAdmissions Question="C8C"&gt;True&lt;/SATACTWritingComponentUseForAdmissions&gt;</v>
      </c>
    </row>
    <row r="247" ht="12.75">
      <c r="A247" t="str">
        <f>'XML Calculations'!K247</f>
        <v>&lt;SATACTWritingComponentUseForPlacement Question="C8C"&gt;False&lt;/SATACTWritingComponentUseForPlacement&gt;</v>
      </c>
    </row>
    <row r="248" ht="12.75">
      <c r="A248" t="str">
        <f>'XML Calculations'!K248</f>
        <v>&lt;SATACTWritingComponentUseForAdvising Question="C8C"&gt;False&lt;/SATACTWritingComponentUseForAdvising&gt;</v>
      </c>
    </row>
    <row r="249" ht="12.75">
      <c r="A249" t="str">
        <f>'XML Calculations'!K249</f>
        <v>&lt;SATACTWritingComponentUseInPlaceOfEssay Question="C8C"&gt;False&lt;/SATACTWritingComponentUseInPlaceOfEssay&gt;</v>
      </c>
    </row>
    <row r="250" ht="12.75">
      <c r="A250" t="str">
        <f>'XML Calculations'!K250</f>
        <v>&lt;SATACTWritingComponentUseEssayValidityCheck Question="C8C"&gt;False&lt;/SATACTWritingComponentUseEssayValidityCheck&gt;</v>
      </c>
    </row>
    <row r="251" ht="12.75">
      <c r="A251" t="str">
        <f>'XML Calculations'!K251</f>
        <v>&lt;SATACTWritingComponentUseEssayNoPolicy Question="C8C"&gt;False&lt;/SATACTWritingComponentUseEssayNoPolicy&gt;</v>
      </c>
    </row>
    <row r="252" ht="12.75">
      <c r="A252" t="str">
        <f>'XML Calculations'!K252</f>
        <v>&lt;SATACTWritingComponentUseNone Question="C8C"&gt;False&lt;/SATACTWritingComponentUseNone&gt;</v>
      </c>
    </row>
    <row r="253" ht="12.75">
      <c r="A253" t="str">
        <f>'XML Calculations'!K253</f>
        <v>&lt;SATACTUsedForAcademicAdvising Question="C8D"&gt;1&lt;/SATACTUsedForAcademicAdvising&gt;</v>
      </c>
    </row>
    <row r="254" ht="12.75">
      <c r="A254" t="str">
        <f>'XML Calculations'!K254</f>
        <v>&lt;SATACTDeadline Question="C8E"&gt;3/1&lt;/SATACTDeadline&gt;</v>
      </c>
    </row>
    <row r="255" ht="12.75">
      <c r="A255" t="str">
        <f>'XML Calculations'!K255</f>
        <v>&lt;SATSubjectDeadline Question="C8E"&gt;3/1&lt;/SATSubjectDeadline&gt;</v>
      </c>
    </row>
    <row r="256" ht="12.75">
      <c r="A256" t="str">
        <f>'XML Calculations'!K256</f>
        <v>&lt;SATACTPolicyClarify Question="C8F"&gt;&lt;![CDATA[]]&gt;&lt;/SATACTPolicyClarify&gt;</v>
      </c>
    </row>
    <row r="257" ht="12.75">
      <c r="A257" t="str">
        <f>'XML Calculations'!K257</f>
        <v>&lt;TestForPlacementSAT Question="C8G"&gt;False&lt;/TestForPlacementSAT&gt;</v>
      </c>
    </row>
    <row r="258" ht="12.75">
      <c r="A258" t="str">
        <f>'XML Calculations'!K258</f>
        <v>&lt;TestForPlacementACT Question="C8G"&gt;False&lt;/TestForPlacementACT&gt;</v>
      </c>
    </row>
    <row r="259" ht="12.75">
      <c r="A259" t="str">
        <f>'XML Calculations'!K259</f>
        <v>&lt;TestForPlacementSATSubject Question="C8G"&gt;False&lt;/TestForPlacementSATSubject&gt;</v>
      </c>
    </row>
    <row r="260" ht="12.75">
      <c r="A260" t="str">
        <f>'XML Calculations'!K260</f>
        <v>&lt;TestForPlacementAP Question="C8G"&gt;True&lt;/TestForPlacementAP&gt;</v>
      </c>
    </row>
    <row r="261" ht="12.75">
      <c r="A261" t="str">
        <f>'XML Calculations'!K261</f>
        <v>&lt;TestForPlacementCLEP Question="C8G"&gt;False&lt;/TestForPlacementCLEP&gt;</v>
      </c>
    </row>
    <row r="262" ht="12.75">
      <c r="A262" t="str">
        <f>'XML Calculations'!K262</f>
        <v>&lt;TestForPlacementInstitutional Question="C8G"&gt;False&lt;/TestForPlacementInstitutional&gt;</v>
      </c>
    </row>
    <row r="263" ht="12.75">
      <c r="A263" t="str">
        <f>'XML Calculations'!K263</f>
        <v>&lt;TestForPlacementStateExam Question="C8G"&gt;&lt;![CDATA[]]&gt;&lt;/TestForPlacementStateExam&gt;</v>
      </c>
    </row>
    <row r="264" ht="12.75">
      <c r="A264" t="str">
        <f>'XML Calculations'!K264</f>
        <v>&lt;SATSubmissionPercent Question="C9"&gt;95.6166419019317&lt;/SATSubmissionPercent&gt;</v>
      </c>
    </row>
    <row r="265" ht="12.75">
      <c r="A265" t="str">
        <f>'XML Calculations'!K265</f>
        <v>&lt;SATSubmissionNumber Question="C9"&gt;1287&lt;/SATSubmissionNumber&gt;</v>
      </c>
    </row>
    <row r="266" ht="12.75">
      <c r="A266" t="str">
        <f>'XML Calculations'!K266</f>
        <v>&lt;ACTSubmissionPercent Question="C9"&gt;4.38335809806835&lt;/ACTSubmissionPercent&gt;</v>
      </c>
    </row>
    <row r="267" ht="12.75">
      <c r="A267" t="str">
        <f>'XML Calculations'!K267</f>
        <v>&lt;ACTSubmissionNumber Question="C9"&gt;59&lt;/ACTSubmissionNumber&gt;</v>
      </c>
    </row>
    <row r="268" ht="12.75">
      <c r="A268" t="str">
        <f>'XML Calculations'!K268</f>
        <v>&lt;TestScoresSATCriticalReading25thPercentile Question="C9"&gt;630&lt;/TestScoresSATCriticalReading25thPercentile&gt;</v>
      </c>
    </row>
    <row r="269" ht="12.75">
      <c r="A269" t="str">
        <f>'XML Calculations'!K269</f>
        <v>&lt;TestScoresSATCriticalReading75thPercentile Question="C9"&gt;740&lt;/TestScoresSATCriticalReading75thPercentile&gt;</v>
      </c>
    </row>
    <row r="270" ht="12.75">
      <c r="A270" t="str">
        <f>'XML Calculations'!K270</f>
        <v>&lt;TestScoresSATMath25thPercentile Question="C9"&gt;620&lt;/TestScoresSATMath25thPercentile&gt;</v>
      </c>
    </row>
    <row r="271" ht="12.75">
      <c r="A271" t="str">
        <f>'XML Calculations'!K271</f>
        <v>&lt;TestScoresSATMath75thPercentile Question="C9"&gt;710&lt;/TestScoresSATMath75thPercentile&gt;</v>
      </c>
    </row>
    <row r="272" ht="12.75">
      <c r="A272" t="str">
        <f>'XML Calculations'!K272</f>
        <v>&lt;TestScoresSATWriting25thPercentile Question="C9"&gt;620&lt;/TestScoresSATWriting25thPercentile&gt;</v>
      </c>
    </row>
    <row r="273" ht="12.75">
      <c r="A273" t="str">
        <f>'XML Calculations'!K273</f>
        <v>&lt;TestScoresSATWriting75thPercentile Question="C9"&gt;710&lt;/TestScoresSATWriting75thPercentile&gt;</v>
      </c>
    </row>
    <row r="274" ht="12.75">
      <c r="A274" t="str">
        <f>'XML Calculations'!K274</f>
        <v>&lt;TestScoresSATEssay25thPercentile Question="C9"&gt;-1&lt;/TestScoresSATEssay25thPercentile&gt;</v>
      </c>
    </row>
    <row r="275" ht="12.75">
      <c r="A275" t="str">
        <f>'XML Calculations'!K275</f>
        <v>&lt;TestScoresSATEssay75thPercentile Question="C9"&gt;-1&lt;/TestScoresSATEssay75thPercentile&gt;</v>
      </c>
    </row>
    <row r="276" ht="12.75">
      <c r="A276" t="str">
        <f>'XML Calculations'!K276</f>
        <v>&lt;TestScoresACTComposite25thPercentile Question="C9"&gt;27&lt;/TestScoresACTComposite25thPercentile&gt;</v>
      </c>
    </row>
    <row r="277" ht="12.75">
      <c r="A277" t="str">
        <f>'XML Calculations'!K277</f>
        <v>&lt;TestScoresACTComposite75thPercentile Question="C9"&gt;32&lt;/TestScoresACTComposite75thPercentile&gt;</v>
      </c>
    </row>
    <row r="278" ht="12.75">
      <c r="A278" t="str">
        <f>'XML Calculations'!K278</f>
        <v>&lt;TestScoresACTMath25thPercentile Question="C9"&gt;26&lt;/TestScoresACTMath25thPercentile&gt;</v>
      </c>
    </row>
    <row r="279" ht="12.75">
      <c r="A279" t="str">
        <f>'XML Calculations'!K279</f>
        <v>&lt;TestScoresACTMath75thPercentile Question="C9"&gt;30&lt;/TestScoresACTMath75thPercentile&gt;</v>
      </c>
    </row>
    <row r="280" ht="12.75">
      <c r="A280" t="str">
        <f>'XML Calculations'!K280</f>
        <v>&lt;TestScoresACTEnglish25thPercentile Question="C9"&gt;27&lt;/TestScoresACTEnglish25thPercentile&gt;</v>
      </c>
    </row>
    <row r="281" ht="12.75">
      <c r="A281" t="str">
        <f>'XML Calculations'!K281</f>
        <v>&lt;TestScoresACTEnglish75thPercentile Question="C9"&gt;33&lt;/TestScoresACTEnglish75thPercentile&gt;</v>
      </c>
    </row>
    <row r="282" ht="12.75">
      <c r="A282" t="str">
        <f>'XML Calculations'!K282</f>
        <v>&lt;TestScoresACTWriting25thPercentile Question="C9"&gt;-1&lt;/TestScoresACTWriting25thPercentile&gt;</v>
      </c>
    </row>
    <row r="283" ht="12.75">
      <c r="A283" t="str">
        <f>'XML Calculations'!K283</f>
        <v>&lt;TestScoresACTWriting75thPercentile Question="C9"&gt;-1&lt;/TestScoresACTWriting75thPercentile&gt;</v>
      </c>
    </row>
    <row r="284" ht="12.75">
      <c r="A284" t="str">
        <f>'XML Calculations'!K284</f>
        <v>&lt;FreshmanSATScoresByRangeCriticalReading700_800 Question="C9"&gt;45.22&lt;/FreshmanSATScoresByRangeCriticalReading700_800&gt;</v>
      </c>
    </row>
    <row r="285" ht="12.75">
      <c r="A285" t="str">
        <f>'XML Calculations'!K285</f>
        <v>&lt;FreshmanSATScoresByRangeMath700_800 Question="C9"&gt;32.17&lt;/FreshmanSATScoresByRangeMath700_800&gt;</v>
      </c>
    </row>
    <row r="286" ht="12.75">
      <c r="A286" t="str">
        <f>'XML Calculations'!K286</f>
        <v>&lt;FreshmanSATScoresByRangeWriting700_800 Question="C9"&gt;35.9&lt;/FreshmanSATScoresByRangeWriting700_800&gt;</v>
      </c>
    </row>
    <row r="287" ht="12.75">
      <c r="A287" t="str">
        <f>'XML Calculations'!K287</f>
        <v>&lt;FreshmanSATScoresByRangeCriticalReading600_699 Question="C9"&gt;39.7&lt;/FreshmanSATScoresByRangeCriticalReading600_699&gt;</v>
      </c>
    </row>
    <row r="288" ht="12.75">
      <c r="A288" t="str">
        <f>'XML Calculations'!K288</f>
        <v>&lt;FreshmanSATScoresByRangeMath600_699 Question="C9"&gt;51.28&lt;/FreshmanSATScoresByRangeMath600_699&gt;</v>
      </c>
    </row>
    <row r="289" ht="12.75">
      <c r="A289" t="str">
        <f>'XML Calculations'!K289</f>
        <v>&lt;FreshmanSATScoresByRangeWriting600_699 Question="C9"&gt;46.62&lt;/FreshmanSATScoresByRangeWriting600_699&gt;</v>
      </c>
    </row>
    <row r="290" ht="12.75">
      <c r="A290" t="str">
        <f>'XML Calculations'!K290</f>
        <v>&lt;FreshmanSATScoresByRangeCriticalReading500_599 Question="C9"&gt;13.21&lt;/FreshmanSATScoresByRangeCriticalReading500_599&gt;</v>
      </c>
    </row>
    <row r="291" ht="12.75">
      <c r="A291" t="str">
        <f>'XML Calculations'!K291</f>
        <v>&lt;FreshmanSATScoresByRangeMath500_599 Question="C9"&gt;14.69&lt;/FreshmanSATScoresByRangeMath500_599&gt;</v>
      </c>
    </row>
    <row r="292" ht="12.75">
      <c r="A292" t="str">
        <f>'XML Calculations'!K292</f>
        <v>&lt;FreshmanSATScoresByRangeWriting500_599 Question="C9"&gt;15.23&lt;/FreshmanSATScoresByRangeWriting500_599&gt;</v>
      </c>
    </row>
    <row r="293" ht="12.75">
      <c r="A293" t="str">
        <f>'XML Calculations'!K293</f>
        <v>&lt;FreshmanSATScoresByRangeCriticalReading400_499 Question="C9"&gt;1.86&lt;/FreshmanSATScoresByRangeCriticalReading400_499&gt;</v>
      </c>
    </row>
    <row r="294" ht="12.75">
      <c r="A294" t="str">
        <f>'XML Calculations'!K294</f>
        <v>&lt;FreshmanSATScoresByRangeMath400_499 Question="C9"&gt;1.71&lt;/FreshmanSATScoresByRangeMath400_499&gt;</v>
      </c>
    </row>
    <row r="295" ht="12.75">
      <c r="A295" t="str">
        <f>'XML Calculations'!K295</f>
        <v>&lt;FreshmanSATScoresByRangeWriting400_499 Question="C9"&gt;2.1&lt;/FreshmanSATScoresByRangeWriting400_499&gt;</v>
      </c>
    </row>
    <row r="296" ht="12.75">
      <c r="A296" t="str">
        <f>'XML Calculations'!K296</f>
        <v>&lt;FreshmanSATScoresByRangeCriticalReading300_399 Question="C9"&gt;0&lt;/FreshmanSATScoresByRangeCriticalReading300_399&gt;</v>
      </c>
    </row>
    <row r="297" ht="12.75">
      <c r="A297" t="str">
        <f>'XML Calculations'!K297</f>
        <v>&lt;FreshmanSATScoresByRangeMath300_399 Question="C9"&gt;0.16&lt;/FreshmanSATScoresByRangeMath300_399&gt;</v>
      </c>
    </row>
    <row r="298" ht="12.75">
      <c r="A298" t="str">
        <f>'XML Calculations'!K298</f>
        <v>&lt;FreshmanSATScoresByRangeWriting300_399 Question="C9"&gt;0.2&lt;/FreshmanSATScoresByRangeWriting300_399&gt;</v>
      </c>
    </row>
    <row r="299" ht="12.75">
      <c r="A299" t="str">
        <f>'XML Calculations'!K299</f>
        <v>&lt;FreshmanSATScoresByRangeCriticalReading200_299 Question="C9"&gt;0&lt;/FreshmanSATScoresByRangeCriticalReading200_299&gt;</v>
      </c>
    </row>
    <row r="300" ht="12.75">
      <c r="A300" t="str">
        <f>'XML Calculations'!K300</f>
        <v>&lt;FreshmanSATScoresByRangeMath200_299 Question="C9"&gt;0&lt;/FreshmanSATScoresByRangeMath200_299&gt;</v>
      </c>
    </row>
    <row r="301" ht="12.75">
      <c r="A301" t="str">
        <f>'XML Calculations'!K301</f>
        <v>&lt;FreshmanSATScoresByRangeWriting200_299 Question="C9"&gt;0&lt;/FreshmanSATScoresByRangeWriting200_299&gt;</v>
      </c>
    </row>
    <row r="302" ht="12.75">
      <c r="A302" t="str">
        <f>'XML Calculations'!K302</f>
        <v>&lt;FreshmanSATScoresByRangeCriticalReadingTotal Question="C9"&gt;99.99&lt;/FreshmanSATScoresByRangeCriticalReadingTotal&gt;</v>
      </c>
    </row>
    <row r="303" ht="12.75">
      <c r="A303" t="str">
        <f>'XML Calculations'!K303</f>
        <v>&lt;FreshmanSATScoresByRangeMathTotal Question="C9"&gt;100.01&lt;/FreshmanSATScoresByRangeMathTotal&gt;</v>
      </c>
    </row>
    <row r="304" ht="12.75">
      <c r="A304" t="str">
        <f>'XML Calculations'!K304</f>
        <v>&lt;FreshmanSATScoresByRangeWritingTotal Question="C9"&gt;100.05&lt;/FreshmanSATScoresByRangeWritingTotal&gt;</v>
      </c>
    </row>
    <row r="305" ht="12.75">
      <c r="A305" t="str">
        <f>'XML Calculations'!K305</f>
        <v>&lt;FreshmanACTScoresByRangeComposite30_36 Question="C9"&gt;45.76&lt;/FreshmanACTScoresByRangeComposite30_36&gt;</v>
      </c>
    </row>
    <row r="306" ht="12.75">
      <c r="A306" t="str">
        <f>'XML Calculations'!K306</f>
        <v>&lt;FreshmanACTScoresByRangeEnglish30_36 Question="C9"&gt;64.41&lt;/FreshmanACTScoresByRangeEnglish30_36&gt;</v>
      </c>
    </row>
    <row r="307" ht="12.75">
      <c r="A307" t="str">
        <f>'XML Calculations'!K307</f>
        <v>&lt;FreshmanACTScoresByRangeMath30_36 Question="C9"&gt;32.2&lt;/FreshmanACTScoresByRangeMath30_36&gt;</v>
      </c>
    </row>
    <row r="308" ht="12.75">
      <c r="A308" t="str">
        <f>'XML Calculations'!K308</f>
        <v>&lt;FreshmanACTScoresByRangeComposite24_29 Question="C9"&gt;47.46&lt;/FreshmanACTScoresByRangeComposite24_29&gt;</v>
      </c>
    </row>
    <row r="309" ht="12.75">
      <c r="A309" t="str">
        <f>'XML Calculations'!K309</f>
        <v>&lt;FreshmanACTScoresByRangeEnglish24_29 Question="C9"&gt;27.12&lt;/FreshmanACTScoresByRangeEnglish24_29&gt;</v>
      </c>
    </row>
    <row r="310" ht="12.75">
      <c r="A310" t="str">
        <f>'XML Calculations'!K310</f>
        <v>&lt;FreshmanACTScoresByRangeMath24_29 Question="C9"&gt;57.63&lt;/FreshmanACTScoresByRangeMath24_29&gt;</v>
      </c>
    </row>
    <row r="311" ht="12.75">
      <c r="A311" t="str">
        <f>'XML Calculations'!K311</f>
        <v>&lt;FreshmanACTScoresByRangeComposite18_23 Question="C9"&gt;6.78&lt;/FreshmanACTScoresByRangeComposite18_23&gt;</v>
      </c>
    </row>
    <row r="312" ht="12.75">
      <c r="A312" t="str">
        <f>'XML Calculations'!K312</f>
        <v>&lt;FreshmanACTScoresByRangeEnglish18_23 Question="C9"&gt;8.47&lt;/FreshmanACTScoresByRangeEnglish18_23&gt;</v>
      </c>
    </row>
    <row r="313" ht="12.75">
      <c r="A313" t="str">
        <f>'XML Calculations'!K313</f>
        <v>&lt;FreshmanACTScoresByRangeMath18_23 Question="C9"&gt;6.78&lt;/FreshmanACTScoresByRangeMath18_23&gt;</v>
      </c>
    </row>
    <row r="314" ht="12.75">
      <c r="A314" t="str">
        <f>'XML Calculations'!K314</f>
        <v>&lt;FreshmanACTScoresByRangeComposite12_17 Question="C9"&gt;0&lt;/FreshmanACTScoresByRangeComposite12_17&gt;</v>
      </c>
    </row>
    <row r="315" ht="12.75">
      <c r="A315" t="str">
        <f>'XML Calculations'!K315</f>
        <v>&lt;FreshmanACTScoresByRangeEnglish12_17 Question="C9"&gt;0&lt;/FreshmanACTScoresByRangeEnglish12_17&gt;</v>
      </c>
    </row>
    <row r="316" ht="12.75">
      <c r="A316" t="str">
        <f>'XML Calculations'!K316</f>
        <v>&lt;FreshmanACTScoresByRangeMath12_17 Question="C9"&gt;3.39&lt;/FreshmanACTScoresByRangeMath12_17&gt;</v>
      </c>
    </row>
    <row r="317" ht="12.75">
      <c r="A317" t="str">
        <f>'XML Calculations'!K317</f>
        <v>&lt;FreshmanACTScoresByRangeComposite6_11 Question="C9"&gt;0&lt;/FreshmanACTScoresByRangeComposite6_11&gt;</v>
      </c>
    </row>
    <row r="318" ht="12.75">
      <c r="A318" t="str">
        <f>'XML Calculations'!K318</f>
        <v>&lt;FreshmanACTScoresByRangeEnglish6_11 Question="C9"&gt;0&lt;/FreshmanACTScoresByRangeEnglish6_11&gt;</v>
      </c>
    </row>
    <row r="319" ht="12.75">
      <c r="A319" t="str">
        <f>'XML Calculations'!K319</f>
        <v>&lt;FreshmanACTScoresByRangeMath6_11 Question="C9"&gt;0&lt;/FreshmanACTScoresByRangeMath6_11&gt;</v>
      </c>
    </row>
    <row r="320" ht="12.75">
      <c r="A320" t="str">
        <f>'XML Calculations'!K320</f>
        <v>&lt;FreshmanACTScoresByRangeComposite1_5 Question="C9"&gt;0&lt;/FreshmanACTScoresByRangeComposite1_5&gt;</v>
      </c>
    </row>
    <row r="321" ht="12.75">
      <c r="A321" t="str">
        <f>'XML Calculations'!K321</f>
        <v>&lt;FreshmanACTScoresByRangeEnglish1_5 Question="C9"&gt;0&lt;/FreshmanACTScoresByRangeEnglish1_5&gt;</v>
      </c>
    </row>
    <row r="322" ht="12.75">
      <c r="A322" t="str">
        <f>'XML Calculations'!K322</f>
        <v>&lt;FreshmanACTScoresByRangeMath1_5 Question="C9"&gt;0&lt;/FreshmanACTScoresByRangeMath1_5&gt;</v>
      </c>
    </row>
    <row r="323" ht="12.75">
      <c r="A323" t="str">
        <f>'XML Calculations'!K323</f>
        <v>&lt;FreshmanACTScoresByRangeCompositeTotal Question="C9"&gt;100&lt;/FreshmanACTScoresByRangeCompositeTotal&gt;</v>
      </c>
    </row>
    <row r="324" ht="12.75">
      <c r="A324" t="str">
        <f>'XML Calculations'!K324</f>
        <v>&lt;FreshmanACTScoresByRangeEnglishTotal Question="C9"&gt;100&lt;/FreshmanACTScoresByRangeEnglishTotal&gt;</v>
      </c>
    </row>
    <row r="325" ht="12.75">
      <c r="A325" t="str">
        <f>'XML Calculations'!K325</f>
        <v>&lt;FreshmanACTScoresByRangeMathTotal Question="C9"&gt;100&lt;/FreshmanACTScoresByRangeMathTotal&gt;</v>
      </c>
    </row>
    <row r="326" ht="12.75">
      <c r="A326" t="str">
        <f>'XML Calculations'!K326</f>
        <v>&lt;ClassRankPercentTop10 Question="C10"&gt;78.7234042553192&lt;/ClassRankPercentTop10&gt;</v>
      </c>
    </row>
    <row r="327" ht="12.75">
      <c r="A327" t="str">
        <f>'XML Calculations'!K327</f>
        <v>&lt;ClassRankPercentTop25 Question="C10"&gt;96.5045592705167&lt;/ClassRankPercentTop25&gt;</v>
      </c>
    </row>
    <row r="328" ht="12.75">
      <c r="A328" t="str">
        <f>'XML Calculations'!K328</f>
        <v>&lt;ClassRankPercentTop50 Question="C10"&gt;99.8&lt;/ClassRankPercentTop50&gt;</v>
      </c>
    </row>
    <row r="329" ht="12.75">
      <c r="A329" t="str">
        <f>'XML Calculations'!K329</f>
        <v>&lt;ClassRankPercentBottom50 Question="C10"&gt;0.2&lt;/ClassRankPercentBottom50&gt;</v>
      </c>
    </row>
    <row r="330" ht="12.75">
      <c r="A330" t="str">
        <f>'XML Calculations'!K330</f>
        <v>&lt;ClassRankPercentBottom25 Question="C10"&gt;0&lt;/ClassRankPercentBottom25&gt;</v>
      </c>
    </row>
    <row r="331" ht="12.75">
      <c r="A331" t="str">
        <f>'XML Calculations'!K331</f>
        <v>&lt;ClassRankPercentPercentSubmitted Question="C10"&gt;48.8855869242199&lt;/ClassRankPercentPercentSubmitted&gt;</v>
      </c>
    </row>
    <row r="332" ht="12.75">
      <c r="A332" t="str">
        <f>'XML Calculations'!K332</f>
        <v>&lt;GPAPercent3_75To4 Question="C11"&gt;76.7111111111111&lt;/GPAPercent3_75To4&gt;</v>
      </c>
    </row>
    <row r="333" ht="12.75">
      <c r="A333" t="str">
        <f>'XML Calculations'!K333</f>
        <v>&lt;GPAPercent3_5To3_74 Question="C11"&gt;16.89&lt;/GPAPercent3_5To3_74&gt;</v>
      </c>
    </row>
    <row r="334" ht="12.75">
      <c r="A334" t="str">
        <f>'XML Calculations'!K334</f>
        <v>&lt;GPAPercent3_25To3_49 Question="C11"&gt;3.56&lt;/GPAPercent3_25To3_49&gt;</v>
      </c>
    </row>
    <row r="335" ht="12.75">
      <c r="A335" t="str">
        <f>'XML Calculations'!K335</f>
        <v>&lt;GPAPercent3To3_24 Question="C11"&gt;2.4&lt;/GPAPercent3To3_24&gt;</v>
      </c>
    </row>
    <row r="336" ht="12.75">
      <c r="A336" t="str">
        <f>'XML Calculations'!K336</f>
        <v>&lt;GPAPercent2_5To2_99 Question="C11"&gt;0.44&lt;/GPAPercent2_5To2_99&gt;</v>
      </c>
    </row>
    <row r="337" ht="12.75">
      <c r="A337" t="str">
        <f>'XML Calculations'!K337</f>
        <v>&lt;GPAPercent2To2_49 Question="C11"&gt;0&lt;/GPAPercent2To2_49&gt;</v>
      </c>
    </row>
    <row r="338" ht="12.75">
      <c r="A338" t="str">
        <f>'XML Calculations'!K338</f>
        <v>&lt;GPAPercent1To1_99 Question="C11"&gt;0&lt;/GPAPercent1To1_99&gt;</v>
      </c>
    </row>
    <row r="339" ht="12.75">
      <c r="A339" t="str">
        <f>'XML Calculations'!K339</f>
        <v>&lt;GPAPercent0To0_99 Question="C11"&gt;0&lt;/GPAPercent0To0_99&gt;</v>
      </c>
    </row>
    <row r="340" ht="12.75">
      <c r="A340" t="str">
        <f>'XML Calculations'!K340</f>
        <v>&lt;GPAPercentTotal Question="C11"&gt;100.001111111111&lt;/GPAPercentTotal&gt;</v>
      </c>
    </row>
    <row r="341" ht="12.75">
      <c r="A341" t="str">
        <f>'XML Calculations'!K341</f>
        <v>&lt;AverageFreshmanGPA Question="C12"&gt;4&lt;/AverageFreshmanGPA&gt;</v>
      </c>
    </row>
    <row r="342" ht="12.75">
      <c r="A342" t="str">
        <f>'XML Calculations'!K342</f>
        <v>&lt;PercentFreshmenSubmittedGPA Question="C12"&gt;83.5809806835067&lt;/PercentFreshmenSubmittedGPA&gt;</v>
      </c>
    </row>
    <row r="343" ht="12.75">
      <c r="A343" t="str">
        <f>'XML Calculations'!K343</f>
        <v>&lt;ApplicationFee Question="C13"&gt;1&lt;/ApplicationFee&gt;</v>
      </c>
    </row>
    <row r="344" ht="12.75">
      <c r="A344" t="str">
        <f>'XML Calculations'!K344</f>
        <v>&lt;ApplicationFeeValue Question="C13"&gt;60&lt;/ApplicationFeeValue&gt;</v>
      </c>
    </row>
    <row r="345" ht="12.75">
      <c r="A345" t="str">
        <f>'XML Calculations'!K345</f>
        <v>&lt;ApplicationFeeWaiver Question="C13"&gt;1&lt;/ApplicationFeeWaiver&gt;</v>
      </c>
    </row>
    <row r="346" ht="12.75">
      <c r="A346" t="str">
        <f>'XML Calculations'!K346</f>
        <v>&lt;OnlineApplicationFee Question="C13"&gt;1&lt;/OnlineApplicationFee&gt;</v>
      </c>
    </row>
    <row r="347" ht="12.75">
      <c r="A347" t="str">
        <f>'XML Calculations'!K347</f>
        <v>&lt;OnlineApplicationFeeWaiver Question="C13"&gt;1&lt;/OnlineApplicationFeeWaiver&gt;</v>
      </c>
    </row>
    <row r="348" ht="12.75">
      <c r="A348" t="str">
        <f>'XML Calculations'!K348</f>
        <v>&lt;ApplicationDeadline Question="C13"&gt;1&lt;/ApplicationDeadline&gt;</v>
      </c>
    </row>
    <row r="349" ht="12.75">
      <c r="A349" t="str">
        <f>'XML Calculations'!K349</f>
        <v>&lt;ApplicationClosingDateFall Question="C14"&gt;1/1&lt;/ApplicationClosingDateFall&gt;</v>
      </c>
    </row>
    <row r="350" ht="12.75">
      <c r="A350" t="str">
        <f>'XML Calculations'!K350</f>
        <v>&lt;ApplicationPriorityDateFall Question="C14"&gt;-1&lt;/ApplicationPriorityDateFall&gt;</v>
      </c>
    </row>
    <row r="351" ht="12.75">
      <c r="A351" t="str">
        <f>'XML Calculations'!K351</f>
        <v>&lt;AcceptanceOtherThanFall Question="C15"&gt;0&lt;/AcceptanceOtherThanFall&gt;</v>
      </c>
    </row>
    <row r="352" ht="12.75">
      <c r="A352" t="str">
        <f>'XML Calculations'!K352</f>
        <v>&lt;ApplicationRollingAdmissionsStartDate Question="C16"&gt;-1&lt;/ApplicationRollingAdmissionsStartDate&gt;</v>
      </c>
    </row>
    <row r="353" ht="12.75">
      <c r="A353" t="str">
        <f>'XML Calculations'!K353</f>
        <v>&lt;ApplicationNotificationByDate Question="C16"&gt;4/1&lt;/ApplicationNotificationByDate&gt;</v>
      </c>
    </row>
    <row r="354" ht="12.75">
      <c r="A354" t="str">
        <f>'XML Calculations'!K354</f>
        <v>&lt;ApplicationNotificationOther Question="C16"&gt;&lt;![CDATA[]]&gt;&lt;/ApplicationNotificationOther&gt;</v>
      </c>
    </row>
    <row r="355" ht="12.75">
      <c r="A355" t="str">
        <f>'XML Calculations'!K355</f>
        <v>&lt;AdmittedReplyByDate Question="C17"&gt;5/1&lt;/AdmittedReplyByDate&gt;</v>
      </c>
    </row>
    <row r="356" ht="12.75">
      <c r="A356" t="str">
        <f>'XML Calculations'!K356</f>
        <v>&lt;AdmittedReplyByNoSetDate Question="C17"&gt;False&lt;/AdmittedReplyByNoSetDate&gt;</v>
      </c>
    </row>
    <row r="357" ht="12.75">
      <c r="A357" t="str">
        <f>'XML Calculations'!K357</f>
        <v>&lt;AdmittedReplyByMay1 Question="C17"&gt;False&lt;/AdmittedReplyByMay1&gt;</v>
      </c>
    </row>
    <row r="358" ht="12.75">
      <c r="A358" t="str">
        <f>'XML Calculations'!K358</f>
        <v>&lt;AdmittedReplyByXWeeksOfMay1 Question="C17"&gt;-1&lt;/AdmittedReplyByXWeeksOfMay1&gt;</v>
      </c>
    </row>
    <row r="359" ht="12.75">
      <c r="A359" t="str">
        <f>'XML Calculations'!K359</f>
        <v>&lt;AdmittedReplyByOther Question="C17"&gt;&lt;![CDATA[]]&gt;&lt;/AdmittedReplyByOther&gt;</v>
      </c>
    </row>
    <row r="360" ht="12.75">
      <c r="A360" t="str">
        <f>'XML Calculations'!K360</f>
        <v>&lt;HousingDepositDeadlineDate Question="C17"&gt;5/1&lt;/HousingDepositDeadlineDate&gt;</v>
      </c>
    </row>
    <row r="361" ht="12.75">
      <c r="A361" t="str">
        <f>'XML Calculations'!K361</f>
        <v>&lt;HousingDepositAmount Question="C17"&gt;200&lt;/HousingDepositAmount&gt;</v>
      </c>
    </row>
    <row r="362" ht="12.75">
      <c r="A362" t="str">
        <f>'XML Calculations'!K362</f>
        <v>&lt;HousingDepositRefundable Question="C17"&gt;3&lt;/HousingDepositRefundable&gt;</v>
      </c>
    </row>
    <row r="363" ht="12.75">
      <c r="A363" t="str">
        <f>'XML Calculations'!K363</f>
        <v>&lt;MayPostponeEnrollment Question="C18"&gt;1&lt;/MayPostponeEnrollment&gt;</v>
      </c>
    </row>
    <row r="364" ht="12.75">
      <c r="A364" t="str">
        <f>'XML Calculations'!K364</f>
        <v>&lt;PostponeEnrollmentMaxPeriod Question="C18"&gt;&lt;![CDATA[1 year]]&gt;&lt;/PostponeEnrollmentMaxPeriod&gt;</v>
      </c>
    </row>
    <row r="365" ht="12.75">
      <c r="A365" t="str">
        <f>'XML Calculations'!K365</f>
        <v>&lt;EarlyAdmissionOfHighSchoolStudents Question="C19"&gt;1&lt;/EarlyAdmissionOfHighSchoolStudents&gt;</v>
      </c>
    </row>
    <row r="366" ht="12.75">
      <c r="A366" t="str">
        <f>'XML Calculations'!K366</f>
        <v>&lt;EarlyDecision Question="C21"&gt;1&lt;/EarlyDecision&gt;</v>
      </c>
    </row>
    <row r="367" ht="12.75">
      <c r="A367" t="str">
        <f>'XML Calculations'!K367</f>
        <v>&lt;EarlyDesicionFirstClosingDate Question="C21"&gt;11/1&lt;/EarlyDesicionFirstClosingDate&gt;</v>
      </c>
    </row>
    <row r="368" ht="12.75">
      <c r="A368" t="str">
        <f>'XML Calculations'!K368</f>
        <v>&lt;EarlyDesicionFirstNotificationDate Question="C21"&gt;12/1&lt;/EarlyDesicionFirstNotificationDate&gt;</v>
      </c>
    </row>
    <row r="369" ht="12.75">
      <c r="A369" t="str">
        <f>'XML Calculations'!K369</f>
        <v>&lt;EarlyDesicionOtherClosingDate Question="C21"&gt;-1&lt;/EarlyDesicionOtherClosingDate&gt;</v>
      </c>
    </row>
    <row r="370" ht="12.75">
      <c r="A370" t="str">
        <f>'XML Calculations'!K370</f>
        <v>&lt;EarlyDesicionOtherNotificationDate Question="C21"&gt;-1&lt;/EarlyDesicionOtherNotificationDate&gt;</v>
      </c>
    </row>
    <row r="371" ht="12.75">
      <c r="A371" t="str">
        <f>'XML Calculations'!K371</f>
        <v>&lt;EarlyDesicionApplicationsReceived Question="C21"&gt;898&lt;/EarlyDesicionApplicationsReceived&gt;</v>
      </c>
    </row>
    <row r="372" ht="12.75">
      <c r="A372" t="str">
        <f>'XML Calculations'!K372</f>
        <v>&lt;EarlyDesicionApplicantsAdmitted Question="C21"&gt;409&lt;/EarlyDesicionApplicantsAdmitted&gt;</v>
      </c>
    </row>
    <row r="373" ht="12.75">
      <c r="A373" t="str">
        <f>'XML Calculations'!K373</f>
        <v>&lt;EarlyDecisionPolicyDetails Question="C21"&gt;&lt;![CDATA[]]&gt;&lt;/EarlyDecisionPolicyDetails&gt;</v>
      </c>
    </row>
    <row r="374" ht="12.75">
      <c r="A374" t="str">
        <f>'XML Calculations'!K374</f>
        <v>&lt;EarlyAction Question="C22"&gt;0&lt;/EarlyAction&gt;</v>
      </c>
    </row>
    <row r="375" ht="12.75">
      <c r="A375" t="str">
        <f>'XML Calculations'!K375</f>
        <v>&lt;EarlyActionClosingDate Question="C22"&gt;-1&lt;/EarlyActionClosingDate&gt;</v>
      </c>
    </row>
    <row r="376" ht="12.75">
      <c r="A376" t="str">
        <f>'XML Calculations'!K376</f>
        <v>&lt;EarlyActionNotificationDate Question="C22"&gt;-1&lt;/EarlyActionNotificationDate&gt;</v>
      </c>
    </row>
    <row r="377" ht="12.75">
      <c r="A377" t="str">
        <f>'XML Calculations'!K377</f>
        <v>&lt;EarlyActionRestrictive Question="C22"&gt;-1&lt;/EarlyActionRestrictive&gt;</v>
      </c>
    </row>
    <row r="378" ht="12.75">
      <c r="A378" t="str">
        <f>'XML Calculations'!K378</f>
        <v>&lt;/FreshmanAdmission&gt;</v>
      </c>
    </row>
    <row r="379" ht="12.75">
      <c r="A379" t="str">
        <f>'XML Calculations'!K379</f>
        <v>&lt;TransferAdmission Section="D"&gt;</v>
      </c>
    </row>
    <row r="380" ht="12.75">
      <c r="A380" t="str">
        <f>'XML Calculations'!K380</f>
        <v>&lt;TransfersAccepted Question="D1"&gt;1&lt;/TransfersAccepted&gt;</v>
      </c>
    </row>
    <row r="381" ht="12.75">
      <c r="A381" t="str">
        <f>'XML Calculations'!K381</f>
        <v>&lt;TransferCredit Question="D1"&gt;1&lt;/TransferCredit&gt;</v>
      </c>
    </row>
    <row r="382" ht="12.75">
      <c r="A382" t="str">
        <f>'XML Calculations'!K382</f>
        <v>&lt;TransferApplicantsMale Question="D2"&gt;248&lt;/TransferApplicantsMale&gt;</v>
      </c>
    </row>
    <row r="383" ht="12.75">
      <c r="A383" t="str">
        <f>'XML Calculations'!K383</f>
        <v>&lt;TransferApplicantsAdmittedMale Question="D2"&gt;126&lt;/TransferApplicantsAdmittedMale&gt;</v>
      </c>
    </row>
    <row r="384" ht="12.75">
      <c r="A384" t="str">
        <f>'XML Calculations'!K384</f>
        <v>&lt;TransferApplicantsEnrolledMale Question="D2"&gt;71&lt;/TransferApplicantsEnrolledMale&gt;</v>
      </c>
    </row>
    <row r="385" ht="12.75">
      <c r="A385" t="str">
        <f>'XML Calculations'!K385</f>
        <v>&lt;TransferApplicantsFemale Question="D2"&gt;400&lt;/TransferApplicantsFemale&gt;</v>
      </c>
    </row>
    <row r="386" ht="12.75">
      <c r="A386" t="str">
        <f>'XML Calculations'!K386</f>
        <v>&lt;TransferApplicantsAdmittedFemale Question="D2"&gt;206&lt;/TransferApplicantsAdmittedFemale&gt;</v>
      </c>
    </row>
    <row r="387" ht="12.75">
      <c r="A387" t="str">
        <f>'XML Calculations'!K387</f>
        <v>&lt;TransferApplicantsEnrolledFemale Question="D2"&gt;121&lt;/TransferApplicantsEnrolledFemale&gt;</v>
      </c>
    </row>
    <row r="388" ht="12.75">
      <c r="A388" t="str">
        <f>'XML Calculations'!K388</f>
        <v>&lt;TransferApplicantsTotal Question="D2"&gt;648&lt;/TransferApplicantsTotal&gt;</v>
      </c>
    </row>
    <row r="389" ht="12.75">
      <c r="A389" t="str">
        <f>'XML Calculations'!K389</f>
        <v>&lt;TransferApplicantsAdmittedTotal Question="D2"&gt;332&lt;/TransferApplicantsAdmittedTotal&gt;</v>
      </c>
    </row>
    <row r="390" ht="12.75">
      <c r="A390" t="str">
        <f>'XML Calculations'!K390</f>
        <v>&lt;TransferApplicantsEnrolledTotal Question="D2"&gt;192&lt;/TransferApplicantsEnrolledTotal&gt;</v>
      </c>
    </row>
    <row r="391" ht="12.75">
      <c r="A391" t="str">
        <f>'XML Calculations'!K391</f>
        <v>&lt;TransferTermFall Question="D3"&gt;True&lt;/TransferTermFall&gt;</v>
      </c>
    </row>
    <row r="392" ht="12.75">
      <c r="A392" t="str">
        <f>'XML Calculations'!K392</f>
        <v>&lt;TransferTermWinter Question="D3"&gt;False&lt;/TransferTermWinter&gt;</v>
      </c>
    </row>
    <row r="393" ht="12.75">
      <c r="A393" t="str">
        <f>'XML Calculations'!K393</f>
        <v>&lt;TransferTermSpring Question="D3"&gt;True&lt;/TransferTermSpring&gt;</v>
      </c>
    </row>
    <row r="394" ht="12.75">
      <c r="A394" t="str">
        <f>'XML Calculations'!K394</f>
        <v>&lt;TransferTermSummer Question="D3"&gt;False&lt;/TransferTermSummer&gt;</v>
      </c>
    </row>
    <row r="395" ht="12.75">
      <c r="A395" t="str">
        <f>'XML Calculations'!K395</f>
        <v>&lt;TransferMinimumCredits Question="D4"&gt;1&lt;/TransferMinimumCredits&gt;</v>
      </c>
    </row>
    <row r="396" ht="12.75">
      <c r="A396" t="str">
        <f>'XML Calculations'!K396</f>
        <v>&lt;TransferMinimumCreditsNeeded Question="D4"&gt;15&lt;/TransferMinimumCreditsNeeded&gt;</v>
      </c>
    </row>
    <row r="397" ht="12.75">
      <c r="A397" t="str">
        <f>'XML Calculations'!K397</f>
        <v>&lt;TransferCreditUnit Question="D4"&gt;&lt;![CDATA[sem crhr]]&gt;&lt;/TransferCreditUnit&gt;</v>
      </c>
    </row>
    <row r="398" ht="12.75">
      <c r="A398" t="str">
        <f>'XML Calculations'!K398</f>
        <v>&lt;TransferRequirementsHighSchoolTranscript Question="D5"&gt;1&lt;/TransferRequirementsHighSchoolTranscript&gt;</v>
      </c>
    </row>
    <row r="399" ht="12.75">
      <c r="A399" t="str">
        <f>'XML Calculations'!K399</f>
        <v>&lt;TransferRequirementsCollegeTranscript Question="D5"&gt;1&lt;/TransferRequirementsCollegeTranscript&gt;</v>
      </c>
    </row>
    <row r="400" ht="12.75">
      <c r="A400" t="str">
        <f>'XML Calculations'!K400</f>
        <v>&lt;TransferRequirementsEssay Question="D5"&gt;1&lt;/TransferRequirementsEssay&gt;</v>
      </c>
    </row>
    <row r="401" ht="12.75">
      <c r="A401" t="str">
        <f>'XML Calculations'!K401</f>
        <v>&lt;TransferRequirementsInterview Question="D5"&gt;5&lt;/TransferRequirementsInterview&gt;</v>
      </c>
    </row>
    <row r="402" ht="12.75">
      <c r="A402" t="str">
        <f>'XML Calculations'!K402</f>
        <v>&lt;TransferRequirementsSAT Question="D5"&gt;4&lt;/TransferRequirementsSAT&gt;</v>
      </c>
    </row>
    <row r="403" ht="12.75">
      <c r="A403" t="str">
        <f>'XML Calculations'!K403</f>
        <v>&lt;TransferRequirementsStatementOfGoodStanding Question="D5"&gt;1&lt;/TransferRequirementsStatementOfGoodStanding&gt;</v>
      </c>
    </row>
    <row r="404" ht="12.75">
      <c r="A404" t="str">
        <f>'XML Calculations'!K404</f>
        <v>&lt;TransferMinimumHighSchoolGPA Question="D6"&gt;-1&lt;/TransferMinimumHighSchoolGPA&gt;</v>
      </c>
    </row>
    <row r="405" ht="12.75">
      <c r="A405" t="str">
        <f>'XML Calculations'!K405</f>
        <v>&lt;TransferMinimumCollegeGPA Question="D7"&gt;3&lt;/TransferMinimumCollegeGPA&gt;</v>
      </c>
    </row>
    <row r="406" ht="12.75">
      <c r="A406" t="str">
        <f>'XML Calculations'!K406</f>
        <v>&lt;TransferRequirementsOther Question="D8"&gt;&lt;![CDATA[The admission committee prefers a cumulative gpa of 3.5 or higher and considers other factors such as strength of curriculum.]]&gt;&lt;/TransferRequirementsOther&gt;</v>
      </c>
    </row>
    <row r="407" ht="12.75">
      <c r="A407" t="str">
        <f>'XML Calculations'!K407</f>
        <v>&lt;TransferFallPriorityDate Question="D9"&gt;-1&lt;/TransferFallPriorityDate&gt;</v>
      </c>
    </row>
    <row r="408" ht="12.75">
      <c r="A408" t="str">
        <f>'XML Calculations'!K408</f>
        <v>&lt;TransferFallClosingDate Question="D9"&gt;2/15&lt;/TransferFallClosingDate&gt;</v>
      </c>
    </row>
    <row r="409" ht="12.75">
      <c r="A409" t="str">
        <f>'XML Calculations'!K409</f>
        <v>&lt;TransferFallRollingAdmission Question="D9"&gt;False&lt;/TransferFallRollingAdmission&gt;</v>
      </c>
    </row>
    <row r="410" ht="12.75">
      <c r="A410" t="str">
        <f>'XML Calculations'!K410</f>
        <v>&lt;TransferFallNotificationDate Question="D9"&gt;4/15&lt;/TransferFallNotificationDate&gt;</v>
      </c>
    </row>
    <row r="411" ht="12.75">
      <c r="A411" t="str">
        <f>'XML Calculations'!K411</f>
        <v>&lt;TransferFallReplyDate Question="D9"&gt;5/1&lt;/TransferFallReplyDate&gt;</v>
      </c>
    </row>
    <row r="412" ht="12.75">
      <c r="A412" t="str">
        <f>'XML Calculations'!K412</f>
        <v>&lt;TransferWinterPriorityDate Question="D9"&gt;-1&lt;/TransferWinterPriorityDate&gt;</v>
      </c>
    </row>
    <row r="413" ht="12.75">
      <c r="A413" t="str">
        <f>'XML Calculations'!K413</f>
        <v>&lt;TransferWinterClosingDate Question="D9"&gt;-1&lt;/TransferWinterClosingDate&gt;</v>
      </c>
    </row>
    <row r="414" ht="12.75">
      <c r="A414" t="str">
        <f>'XML Calculations'!K414</f>
        <v>&lt;TransferWinterRollingAdmission Question="D9"&gt;False&lt;/TransferWinterRollingAdmission&gt;</v>
      </c>
    </row>
    <row r="415" ht="12.75">
      <c r="A415" t="str">
        <f>'XML Calculations'!K415</f>
        <v>&lt;TransferWinterNotificationDate Question="D9"&gt;-1&lt;/TransferWinterNotificationDate&gt;</v>
      </c>
    </row>
    <row r="416" ht="12.75">
      <c r="A416" t="str">
        <f>'XML Calculations'!K416</f>
        <v>&lt;TransferWinterReplyDate Question="D9"&gt;-1&lt;/TransferWinterReplyDate&gt;</v>
      </c>
    </row>
    <row r="417" ht="12.75">
      <c r="A417" t="str">
        <f>'XML Calculations'!K417</f>
        <v>&lt;TransferSpringPriorityDate Question="D9"&gt;-1&lt;/TransferSpringPriorityDate&gt;</v>
      </c>
    </row>
    <row r="418" ht="12.75">
      <c r="A418" t="str">
        <f>'XML Calculations'!K418</f>
        <v>&lt;TransferSpringClosingDate Question="D9"&gt;11/1&lt;/TransferSpringClosingDate&gt;</v>
      </c>
    </row>
    <row r="419" ht="12.75">
      <c r="A419" t="str">
        <f>'XML Calculations'!K419</f>
        <v>&lt;TransferSpringRollingAdmission Question="D9"&gt;False&lt;/TransferSpringRollingAdmission&gt;</v>
      </c>
    </row>
    <row r="420" ht="12.75">
      <c r="A420" t="str">
        <f>'XML Calculations'!K420</f>
        <v>&lt;TransferSpringNotificationDate Question="D9"&gt;12/5&lt;/TransferSpringNotificationDate&gt;</v>
      </c>
    </row>
    <row r="421" ht="12.75">
      <c r="A421" t="str">
        <f>'XML Calculations'!K421</f>
        <v>&lt;TransferSpringReplyDate Question="D9"&gt;1/5&lt;/TransferSpringReplyDate&gt;</v>
      </c>
    </row>
    <row r="422" ht="12.75">
      <c r="A422" t="str">
        <f>'XML Calculations'!K422</f>
        <v>&lt;TransferSummerPriorityDate Question="D9"&gt;-1&lt;/TransferSummerPriorityDate&gt;</v>
      </c>
    </row>
    <row r="423" ht="12.75">
      <c r="A423" t="str">
        <f>'XML Calculations'!K423</f>
        <v>&lt;TransferSummerClosingDate Question="D9"&gt;-1&lt;/TransferSummerClosingDate&gt;</v>
      </c>
    </row>
    <row r="424" ht="12.75">
      <c r="A424" t="str">
        <f>'XML Calculations'!K424</f>
        <v>&lt;TransferSummerRollingAdmission Question="D9"&gt;False&lt;/TransferSummerRollingAdmission&gt;</v>
      </c>
    </row>
    <row r="425" ht="12.75">
      <c r="A425" t="str">
        <f>'XML Calculations'!K425</f>
        <v>&lt;TransferSummerNotificationDate Question="D9"&gt;-1&lt;/TransferSummerNotificationDate&gt;</v>
      </c>
    </row>
    <row r="426" ht="12.75">
      <c r="A426" t="str">
        <f>'XML Calculations'!K426</f>
        <v>&lt;TransferSummerReplyDate Question="D9"&gt;-1&lt;/TransferSummerReplyDate&gt;</v>
      </c>
    </row>
    <row r="427" ht="12.75">
      <c r="A427" t="str">
        <f>'XML Calculations'!K427</f>
        <v>&lt;TransferOpenAdmissions Question="D10"&gt;-1&lt;/TransferOpenAdmissions&gt;</v>
      </c>
    </row>
    <row r="428" ht="12.75">
      <c r="A428" t="str">
        <f>'XML Calculations'!K428</f>
        <v>&lt;TransferAdmissionsRequirementsOther Question="D11"&gt;&lt;![CDATA[]]&gt;&lt;/TransferAdmissionsRequirementsOther&gt;</v>
      </c>
    </row>
    <row r="429" ht="12.75">
      <c r="A429" t="str">
        <f>'XML Calculations'!K429</f>
        <v>&lt;TransferLowestAcceptedGrade Question="D12"&gt;&lt;![CDATA[C]]&gt;&lt;/TransferLowestAcceptedGrade&gt;</v>
      </c>
    </row>
    <row r="430" ht="12.75">
      <c r="A430" t="str">
        <f>'XML Calculations'!K430</f>
        <v>&lt;TransferCreditsMaxFrom2YearInstitution Question="D13"&gt;-1&lt;/TransferCreditsMaxFrom2YearInstitution&gt;</v>
      </c>
    </row>
    <row r="431" ht="12.75">
      <c r="A431" t="str">
        <f>'XML Calculations'!K431</f>
        <v>&lt;TransferCreditsMaxFrom2YearInstitutionUnit Question="D13"&gt;&lt;![CDATA[]]&gt;&lt;/TransferCreditsMaxFrom2YearInstitutionUnit&gt;</v>
      </c>
    </row>
    <row r="432" ht="12.75">
      <c r="A432" t="str">
        <f>'XML Calculations'!K432</f>
        <v>&lt;TransferCreditsMaxFrom4YearInstitution Question="D14"&gt;-1&lt;/TransferCreditsMaxFrom4YearInstitution&gt;</v>
      </c>
    </row>
    <row r="433" ht="12.75">
      <c r="A433" t="str">
        <f>'XML Calculations'!K433</f>
        <v>&lt;TransferCreditsMaxFrom4YearInstitutionUnit Question="D14"&gt;&lt;![CDATA[]]&gt;&lt;/TransferCreditsMaxFrom4YearInstitutionUnit&gt;</v>
      </c>
    </row>
    <row r="434" ht="12.75">
      <c r="A434" t="str">
        <f>'XML Calculations'!K434</f>
        <v>&lt;TransferMinimumCreditsAssociates Question="D15"&gt;-1&lt;/TransferMinimumCreditsAssociates&gt;</v>
      </c>
    </row>
    <row r="435" ht="12.75">
      <c r="A435" t="str">
        <f>'XML Calculations'!K435</f>
        <v>&lt;TransferMinimumCreditsBachelors Question="D16"&gt;60&lt;/TransferMinimumCreditsBachelors&gt;</v>
      </c>
    </row>
    <row r="436" ht="12.75">
      <c r="A436" t="str">
        <f>'XML Calculations'!K436</f>
        <v>&lt;TransferCreditPoliciesOther Question="D17"&gt;&lt;![CDATA[]]&gt;&lt;/TransferCreditPoliciesOther&gt;</v>
      </c>
    </row>
    <row r="437" ht="12.75">
      <c r="A437" t="str">
        <f>'XML Calculations'!K437</f>
        <v>&lt;/TransferAdmission&gt;</v>
      </c>
    </row>
    <row r="438" ht="12.75">
      <c r="A438" t="str">
        <f>'XML Calculations'!K438</f>
        <v>&lt;AcademicOfferingsAndPolicies Section="E"&gt;</v>
      </c>
    </row>
    <row r="439" ht="12.75">
      <c r="A439" t="str">
        <f>'XML Calculations'!K439</f>
        <v>&lt;SpecialStudyOptionsAcceleratedProgram Question="E1"&gt;True&lt;/SpecialStudyOptionsAcceleratedProgram&gt;</v>
      </c>
    </row>
    <row r="440" ht="12.75">
      <c r="A440" t="str">
        <f>'XML Calculations'!K440</f>
        <v>&lt;SpecialStudyOptionsWorkStudy Question="E1"&gt;False&lt;/SpecialStudyOptionsWorkStudy&gt;</v>
      </c>
    </row>
    <row r="441" ht="12.75">
      <c r="A441" t="str">
        <f>'XML Calculations'!K441</f>
        <v>&lt;SpecialStudyOptionsCrossRegistration Question="E1"&gt;False&lt;/SpecialStudyOptionsCrossRegistration&gt;</v>
      </c>
    </row>
    <row r="442" ht="12.75">
      <c r="A442" t="str">
        <f>'XML Calculations'!K442</f>
        <v>&lt;SpecialStudyOptionsDistanceLearning Question="E1"&gt;False&lt;/SpecialStudyOptionsDistanceLearning&gt;</v>
      </c>
    </row>
    <row r="443" ht="12.75">
      <c r="A443" t="str">
        <f>'XML Calculations'!K443</f>
        <v>&lt;SpecialStudyOptionsDoubleMajor Question="E1"&gt;True&lt;/SpecialStudyOptionsDoubleMajor&gt;</v>
      </c>
    </row>
    <row r="444" ht="12.75">
      <c r="A444" t="str">
        <f>'XML Calculations'!K444</f>
        <v>&lt;SpecialStudyOptionsDualEnrollment Question="E1"&gt;True&lt;/SpecialStudyOptionsDualEnrollment&gt;</v>
      </c>
    </row>
    <row r="445" ht="12.75">
      <c r="A445" t="str">
        <f>'XML Calculations'!K445</f>
        <v>&lt;SpecialStudyOptionsESL Question="E1"&gt;False&lt;/SpecialStudyOptionsESL&gt;</v>
      </c>
    </row>
    <row r="446" ht="12.75">
      <c r="A446" t="str">
        <f>'XML Calculations'!K446</f>
        <v>&lt;SpecialStudyOptionsDomesticExchange Question="E1"&gt;True&lt;/SpecialStudyOptionsDomesticExchange&gt;</v>
      </c>
    </row>
    <row r="447" ht="12.75">
      <c r="A447" t="str">
        <f>'XML Calculations'!K447</f>
        <v>&lt;SpecialStudyOptionsExternalDegree Question="E1"&gt;False&lt;/SpecialStudyOptionsExternalDegree&gt;</v>
      </c>
    </row>
    <row r="448" ht="12.75">
      <c r="A448" t="str">
        <f>'XML Calculations'!K448</f>
        <v>&lt;SpecialStudyOptionsHonors Question="E1"&gt;True&lt;/SpecialStudyOptionsHonors&gt;</v>
      </c>
    </row>
    <row r="449" ht="12.75">
      <c r="A449" t="str">
        <f>'XML Calculations'!K449</f>
        <v>&lt;SpecialStudyOptionsIndependent Question="E1"&gt;True&lt;/SpecialStudyOptionsIndependent&gt;</v>
      </c>
    </row>
    <row r="450" ht="12.75">
      <c r="A450" t="str">
        <f>'XML Calculations'!K450</f>
        <v>&lt;SpecialStudyOptionsInternships Question="E1"&gt;True&lt;/SpecialStudyOptionsInternships&gt;</v>
      </c>
    </row>
    <row r="451" ht="12.75">
      <c r="A451" t="str">
        <f>'XML Calculations'!K451</f>
        <v>&lt;SpecialStudyOptionsLiberalArts Question="E1"&gt;False&lt;/SpecialStudyOptionsLiberalArts&gt;</v>
      </c>
    </row>
    <row r="452" ht="12.75">
      <c r="A452" t="str">
        <f>'XML Calculations'!K452</f>
        <v>&lt;SpecialStudyOptionsStudentDesignedMajors Question="E1"&gt;True&lt;/SpecialStudyOptionsStudentDesignedMajors&gt;</v>
      </c>
    </row>
    <row r="453" ht="12.75">
      <c r="A453" t="str">
        <f>'XML Calculations'!K453</f>
        <v>&lt;SpecialStudyOptionsStudyAbroad Question="E1"&gt;True&lt;/SpecialStudyOptionsStudyAbroad&gt;</v>
      </c>
    </row>
    <row r="454" ht="12.75">
      <c r="A454" t="str">
        <f>'XML Calculations'!K454</f>
        <v>&lt;SpecialStudyOptionsTeacherCertification Question="E1"&gt;True&lt;/SpecialStudyOptionsTeacherCertification&gt;</v>
      </c>
    </row>
    <row r="455" ht="12.75">
      <c r="A455" t="str">
        <f>'XML Calculations'!K455</f>
        <v>&lt;SpecialStudyOptionsWeekendCollege Question="E1"&gt;False&lt;/SpecialStudyOptionsWeekendCollege&gt;</v>
      </c>
    </row>
    <row r="456" ht="12.75">
      <c r="A456" t="str">
        <f>'XML Calculations'!K456</f>
        <v>&lt;SpecialStudyOptionsOther Question="E1"&gt;&lt;![CDATA[]]&gt;&lt;/SpecialStudyOptionsOther&gt;</v>
      </c>
    </row>
    <row r="457" ht="12.75">
      <c r="A457" t="str">
        <f>'XML Calculations'!K457</f>
        <v>&lt;RequiredCoursesArt Question="E3"&gt;True&lt;/RequiredCoursesArt&gt;</v>
      </c>
    </row>
    <row r="458" ht="12.75">
      <c r="A458" t="str">
        <f>'XML Calculations'!K458</f>
        <v>&lt;RequiredCoursesComputer Question="E3"&gt;True&lt;/RequiredCoursesComputer&gt;</v>
      </c>
    </row>
    <row r="459" ht="12.75">
      <c r="A459" t="str">
        <f>'XML Calculations'!K459</f>
        <v>&lt;RequiredCoursesEnglish Question="E3"&gt;True&lt;/RequiredCoursesEnglish&gt;</v>
      </c>
    </row>
    <row r="460" ht="12.75">
      <c r="A460" t="str">
        <f>'XML Calculations'!K460</f>
        <v>&lt;RequiredCoursesForeign Question="E3"&gt;True&lt;/RequiredCoursesForeign&gt;</v>
      </c>
    </row>
    <row r="461" ht="12.75">
      <c r="A461" t="str">
        <f>'XML Calculations'!K461</f>
        <v>&lt;RequiredCoursesHistory Question="E3"&gt;True&lt;/RequiredCoursesHistory&gt;</v>
      </c>
    </row>
    <row r="462" ht="12.75">
      <c r="A462" t="str">
        <f>'XML Calculations'!K462</f>
        <v>&lt;RequiredCoursesHumanities Question="E3"&gt;True&lt;/RequiredCoursesHumanities&gt;</v>
      </c>
    </row>
    <row r="463" ht="12.75">
      <c r="A463" t="str">
        <f>'XML Calculations'!K463</f>
        <v>&lt;RequiredCoursesMathematics Question="E3"&gt;True&lt;/RequiredCoursesMathematics&gt;</v>
      </c>
    </row>
    <row r="464" ht="12.75">
      <c r="A464" t="str">
        <f>'XML Calculations'!K464</f>
        <v>&lt;RequiredCoursesPhilosophy Question="E3"&gt;True&lt;/RequiredCoursesPhilosophy&gt;</v>
      </c>
    </row>
    <row r="465" ht="12.75">
      <c r="A465" t="str">
        <f>'XML Calculations'!K465</f>
        <v>&lt;RequiredCoursesPhysicalScience Question="E3"&gt;True&lt;/RequiredCoursesPhysicalScience&gt;</v>
      </c>
    </row>
    <row r="466" ht="12.75">
      <c r="A466" t="str">
        <f>'XML Calculations'!K466</f>
        <v>&lt;RequiredCoursesSocialScience Question="E3"&gt;True&lt;/RequiredCoursesSocialScience&gt;</v>
      </c>
    </row>
    <row r="467" ht="12.75">
      <c r="A467" t="str">
        <f>'XML Calculations'!K467</f>
        <v>&lt;RequiredCoursesOther Question="E3"&gt;&lt;![CDATA[]]&gt;&lt;/RequiredCoursesOther&gt;</v>
      </c>
    </row>
    <row r="468" ht="12.75">
      <c r="A468" t="str">
        <f>'XML Calculations'!K468</f>
        <v>&lt;/AcademicOfferingsAndPolicies&gt;</v>
      </c>
    </row>
    <row r="469" ht="12.75">
      <c r="A469" t="str">
        <f>'XML Calculations'!K469</f>
        <v>&lt;StudentLife Section="F"&gt;</v>
      </c>
    </row>
    <row r="470" ht="12.75">
      <c r="A470" t="str">
        <f>'XML Calculations'!K470</f>
        <v>&lt;PercentOfFreshmenOutOfState Question="F1"&gt;33&lt;/PercentOfFreshmenOutOfState&gt;</v>
      </c>
    </row>
    <row r="471" ht="12.75">
      <c r="A471" t="str">
        <f>'XML Calculations'!K471</f>
        <v>&lt;PercentOfStudentsOutOfState Question="F1"&gt;31&lt;/PercentOfStudentsOutOfState&gt;</v>
      </c>
    </row>
    <row r="472" ht="12.75">
      <c r="A472" t="str">
        <f>'XML Calculations'!K472</f>
        <v>&lt;PercentOfFreshmenJoinFraternities Question="F1"&gt;13.915857605178&lt;/PercentOfFreshmenJoinFraternities&gt;</v>
      </c>
    </row>
    <row r="473" ht="12.75">
      <c r="A473" t="str">
        <f>'XML Calculations'!K473</f>
        <v>&lt;PercentOfStudentsJoinFraternities Question="F1"&gt;22.3&lt;/PercentOfStudentsJoinFraternities&gt;</v>
      </c>
    </row>
    <row r="474" ht="12.75">
      <c r="A474" t="str">
        <f>'XML Calculations'!K474</f>
        <v>&lt;PercentOfFreshmenJoinSororities Question="F1"&gt;20.5980066445183&lt;/PercentOfFreshmenJoinSororities&gt;</v>
      </c>
    </row>
    <row r="475" ht="12.75">
      <c r="A475" t="str">
        <f>'XML Calculations'!K475</f>
        <v>&lt;PercentOfStudentsJoinSororities Question="F1"&gt;27.45&lt;/PercentOfStudentsJoinSororities&gt;</v>
      </c>
    </row>
    <row r="476" ht="12.75">
      <c r="A476" t="str">
        <f>'XML Calculations'!K476</f>
        <v>&lt;PercentOfFreshmenInCollegeHousing Question="F1"&gt;100&lt;/PercentOfFreshmenInCollegeHousing&gt;</v>
      </c>
    </row>
    <row r="477" ht="12.75">
      <c r="A477" t="str">
        <f>'XML Calculations'!K477</f>
        <v>&lt;PercentOfStudentsInCollegeHousing Question="F1"&gt;75&lt;/PercentOfStudentsInCollegeHousing&gt;</v>
      </c>
    </row>
    <row r="478" ht="12.75">
      <c r="A478" t="str">
        <f>'XML Calculations'!K478</f>
        <v>&lt;PercentOfFreshmenOffCampus Question="F1"&gt;-1&lt;/PercentOfFreshmenOffCampus&gt;</v>
      </c>
    </row>
    <row r="479" ht="12.75">
      <c r="A479" t="str">
        <f>'XML Calculations'!K479</f>
        <v>&lt;PercentOfStudentsOffCampus Question="F1"&gt;25&lt;/PercentOfStudentsOffCampus&gt;</v>
      </c>
    </row>
    <row r="480" ht="12.75">
      <c r="A480" t="str">
        <f>'XML Calculations'!K480</f>
        <v>&lt;PercentOfFreshmen25OrOlder Question="F1"&gt;0.0172651933701657&lt;/PercentOfFreshmen25OrOlder&gt;</v>
      </c>
    </row>
    <row r="481" ht="12.75">
      <c r="A481" t="str">
        <f>'XML Calculations'!K481</f>
        <v>&lt;PercentOfStudents25OrOlder Question="F1"&gt;1.69996494917631&lt;/PercentOfStudents25OrOlder&gt;</v>
      </c>
    </row>
    <row r="482" ht="12.75">
      <c r="A482" t="str">
        <f>'XML Calculations'!K482</f>
        <v>&lt;AverageAgeFullTimeFreshmen Question="F1"&gt;18&lt;/AverageAgeFullTimeFreshmen&gt;</v>
      </c>
    </row>
    <row r="483" ht="12.75">
      <c r="A483" t="str">
        <f>'XML Calculations'!K483</f>
        <v>&lt;AverageAgeFullTimeStudents Question="F1"&gt;20&lt;/AverageAgeFullTimeStudents&gt;</v>
      </c>
    </row>
    <row r="484" ht="12.75">
      <c r="A484" t="str">
        <f>'XML Calculations'!K484</f>
        <v>&lt;AverageAgeAllFreshmen Question="F1"&gt;18&lt;/AverageAgeAllFreshmen&gt;</v>
      </c>
    </row>
    <row r="485" ht="12.75">
      <c r="A485" t="str">
        <f>'XML Calculations'!K485</f>
        <v>&lt;AverageAgeAllStudents Question="F1"&gt;20&lt;/AverageAgeAllStudents&gt;</v>
      </c>
    </row>
    <row r="486" ht="12.75">
      <c r="A486" t="str">
        <f>'XML Calculations'!K486</f>
        <v>&lt;ActivitiesOfferedCampusMinistries Question="F2"&gt;True&lt;/ActivitiesOfferedCampusMinistries&gt;</v>
      </c>
    </row>
    <row r="487" ht="12.75">
      <c r="A487" t="str">
        <f>'XML Calculations'!K487</f>
        <v>&lt;ActivitiesOfferedChoir Question="F2"&gt;True&lt;/ActivitiesOfferedChoir&gt;</v>
      </c>
    </row>
    <row r="488" ht="12.75">
      <c r="A488" t="str">
        <f>'XML Calculations'!K488</f>
        <v>&lt;ActivitiesOfferedConcertBand Question="F2"&gt;True&lt;/ActivitiesOfferedConcertBand&gt;</v>
      </c>
    </row>
    <row r="489" ht="12.75">
      <c r="A489" t="str">
        <f>'XML Calculations'!K489</f>
        <v>&lt;ActivitiesOfferedDance Question="F2"&gt;True&lt;/ActivitiesOfferedDance&gt;</v>
      </c>
    </row>
    <row r="490" ht="12.75">
      <c r="A490" t="str">
        <f>'XML Calculations'!K490</f>
        <v>&lt;ActivitiesOfferedDrama Question="F2"&gt;True&lt;/ActivitiesOfferedDrama&gt;</v>
      </c>
    </row>
    <row r="491" ht="12.75">
      <c r="A491" t="str">
        <f>'XML Calculations'!K491</f>
        <v>&lt;ActivitiesOfferedInternationalStudentOrg Question="F2"&gt;True&lt;/ActivitiesOfferedInternationalStudentOrg&gt;</v>
      </c>
    </row>
    <row r="492" ht="12.75">
      <c r="A492" t="str">
        <f>'XML Calculations'!K492</f>
        <v>&lt;ActivitiesOfferedJazz Question="F2"&gt;True&lt;/ActivitiesOfferedJazz&gt;</v>
      </c>
    </row>
    <row r="493" ht="12.75">
      <c r="A493" t="str">
        <f>'XML Calculations'!K493</f>
        <v>&lt;ActivitiesOfferedLiteraryMagazine Question="F2"&gt;True&lt;/ActivitiesOfferedLiteraryMagazine&gt;</v>
      </c>
    </row>
    <row r="494" ht="12.75">
      <c r="A494" t="str">
        <f>'XML Calculations'!K494</f>
        <v>&lt;ActivitiesOfferedMarchingBand Question="F2"&gt;False&lt;/ActivitiesOfferedMarchingBand&gt;</v>
      </c>
    </row>
    <row r="495" ht="12.75">
      <c r="A495" t="str">
        <f>'XML Calculations'!K495</f>
        <v>&lt;ActivitiesOfferedModelUN Question="F2"&gt;True&lt;/ActivitiesOfferedModelUN&gt;</v>
      </c>
    </row>
    <row r="496" ht="12.75">
      <c r="A496" t="str">
        <f>'XML Calculations'!K496</f>
        <v>&lt;ActivitiesOfferedMusicEnsembles Question="F2"&gt;True&lt;/ActivitiesOfferedMusicEnsembles&gt;</v>
      </c>
    </row>
    <row r="497" ht="12.75">
      <c r="A497" t="str">
        <f>'XML Calculations'!K497</f>
        <v>&lt;ActivitiesOfferedMusicalTheater Question="F2"&gt;True&lt;/ActivitiesOfferedMusicalTheater&gt;</v>
      </c>
    </row>
    <row r="498" ht="12.75">
      <c r="A498" t="str">
        <f>'XML Calculations'!K498</f>
        <v>&lt;ActivitiesOfferedOpera Question="F2"&gt;True&lt;/ActivitiesOfferedOpera&gt;</v>
      </c>
    </row>
    <row r="499" ht="12.75">
      <c r="A499" t="str">
        <f>'XML Calculations'!K499</f>
        <v>&lt;ActivitiesOfferedPepBand Question="F2"&gt;True&lt;/ActivitiesOfferedPepBand&gt;</v>
      </c>
    </row>
    <row r="500" ht="12.75">
      <c r="A500" t="str">
        <f>'XML Calculations'!K500</f>
        <v>&lt;ActivitiesOfferedRadio Question="F2"&gt;True&lt;/ActivitiesOfferedRadio&gt;</v>
      </c>
    </row>
    <row r="501" ht="12.75">
      <c r="A501" t="str">
        <f>'XML Calculations'!K501</f>
        <v>&lt;ActivitiesOfferedStudentGovernment Question="F2"&gt;True&lt;/ActivitiesOfferedStudentGovernment&gt;</v>
      </c>
    </row>
    <row r="502" ht="12.75">
      <c r="A502" t="str">
        <f>'XML Calculations'!K502</f>
        <v>&lt;ActivitiesOfferedNewspaper Question="F2"&gt;True&lt;/ActivitiesOfferedNewspaper&gt;</v>
      </c>
    </row>
    <row r="503" ht="12.75">
      <c r="A503" t="str">
        <f>'XML Calculations'!K503</f>
        <v>&lt;ActivitiesOfferedFilmSociety Question="F2"&gt;True&lt;/ActivitiesOfferedFilmSociety&gt;</v>
      </c>
    </row>
    <row r="504" ht="12.75">
      <c r="A504" t="str">
        <f>'XML Calculations'!K504</f>
        <v>&lt;ActivitiesOfferedOrchestra Question="F2"&gt;True&lt;/ActivitiesOfferedOrchestra&gt;</v>
      </c>
    </row>
    <row r="505" ht="12.75">
      <c r="A505" t="str">
        <f>'XML Calculations'!K505</f>
        <v>&lt;ActivitiesOfferedTelevision Question="F2"&gt;True&lt;/ActivitiesOfferedTelevision&gt;</v>
      </c>
    </row>
    <row r="506" ht="12.75">
      <c r="A506" t="str">
        <f>'XML Calculations'!K506</f>
        <v>&lt;ActivitiesOfferedYearbook Question="F2"&gt;True&lt;/ActivitiesOfferedYearbook&gt;</v>
      </c>
    </row>
    <row r="507" ht="12.75">
      <c r="A507" t="str">
        <f>'XML Calculations'!K507</f>
        <v>&lt;ArmyROTCLocation Question="F3"&gt;1&lt;/ArmyROTCLocation&gt;</v>
      </c>
    </row>
    <row r="508" ht="12.75">
      <c r="A508" t="str">
        <f>'XML Calculations'!K508</f>
        <v>&lt;ArmyROTCOffCampusInstitution Question="F3"&gt;&lt;![CDATA[]]&gt;&lt;/ArmyROTCOffCampusInstitution&gt;</v>
      </c>
    </row>
    <row r="509" ht="12.75">
      <c r="A509" t="str">
        <f>'XML Calculations'!K509</f>
        <v>&lt;NavalROTCLocation Question="F3"&gt;-1&lt;/NavalROTCLocation&gt;</v>
      </c>
    </row>
    <row r="510" ht="12.75">
      <c r="A510" t="str">
        <f>'XML Calculations'!K510</f>
        <v>&lt;NavalROTCOffCampusInstitution Question="F3"&gt;&lt;![CDATA[]]&gt;&lt;/NavalROTCOffCampusInstitution&gt;</v>
      </c>
    </row>
    <row r="511" ht="12.75">
      <c r="A511" t="str">
        <f>'XML Calculations'!K511</f>
        <v>&lt;AirForceROTCLocation Question="F3"&gt;-1&lt;/AirForceROTCLocation&gt;</v>
      </c>
    </row>
    <row r="512" ht="12.75">
      <c r="A512" t="str">
        <f>'XML Calculations'!K512</f>
        <v>&lt;AirForceROTCOffCampusInstitution Question="F3"&gt;&lt;![CDATA[]]&gt;&lt;/AirForceROTCOffCampusInstitution&gt;</v>
      </c>
    </row>
    <row r="513" ht="12.75">
      <c r="A513" t="str">
        <f>'XML Calculations'!K513</f>
        <v>&lt;HousingCoedDorms Question="F4"&gt;True&lt;/HousingCoedDorms&gt;</v>
      </c>
    </row>
    <row r="514" ht="12.75">
      <c r="A514" t="str">
        <f>'XML Calculations'!K514</f>
        <v>&lt;HousingMensDorms Question="F4"&gt;True&lt;/HousingMensDorms&gt;</v>
      </c>
    </row>
    <row r="515" ht="12.75">
      <c r="A515" t="str">
        <f>'XML Calculations'!K515</f>
        <v>&lt;HousingWomensDorms Question="F4"&gt;True&lt;/HousingWomensDorms&gt;</v>
      </c>
    </row>
    <row r="516" ht="12.75">
      <c r="A516" t="str">
        <f>'XML Calculations'!K516</f>
        <v>&lt;HousingMarriedApartments Question="F4"&gt;True&lt;/HousingMarriedApartments&gt;</v>
      </c>
    </row>
    <row r="517" ht="12.75">
      <c r="A517" t="str">
        <f>'XML Calculations'!K517</f>
        <v>&lt;HousingSingleApartments Question="F4"&gt;True&lt;/HousingSingleApartments&gt;</v>
      </c>
    </row>
    <row r="518" ht="12.75">
      <c r="A518" t="str">
        <f>'XML Calculations'!K518</f>
        <v>&lt;HousingForDisabledStudents Question="F4"&gt;True&lt;/HousingForDisabledStudents&gt;</v>
      </c>
    </row>
    <row r="519" ht="12.75">
      <c r="A519" t="str">
        <f>'XML Calculations'!K519</f>
        <v>&lt;HousingForInternationalStudents Question="F4"&gt;True&lt;/HousingForInternationalStudents&gt;</v>
      </c>
    </row>
    <row r="520" ht="12.75">
      <c r="A520" t="str">
        <f>'XML Calculations'!K520</f>
        <v>&lt;HousingGreekForGreekSystem Question="F4"&gt;True&lt;/HousingGreekForGreekSystem&gt;</v>
      </c>
    </row>
    <row r="521" ht="12.75">
      <c r="A521" t="str">
        <f>'XML Calculations'!K521</f>
        <v>&lt;HousingCooperative Question="F4"&gt;False&lt;/HousingCooperative&gt;</v>
      </c>
    </row>
    <row r="522" ht="12.75">
      <c r="A522" t="str">
        <f>'XML Calculations'!K522</f>
        <v>&lt;HousingOtherOptions Question="F4"&gt;&lt;![CDATA[]]&gt;&lt;/HousingOtherOptions&gt;</v>
      </c>
    </row>
    <row r="523" ht="12.75">
      <c r="A523" t="str">
        <f>'XML Calculations'!K523</f>
        <v>&lt;/StudentLife&gt;</v>
      </c>
    </row>
    <row r="524" ht="12.75">
      <c r="A524" t="str">
        <f>'XML Calculations'!K524</f>
        <v>&lt;AnnualExpenses Section="G"&gt;</v>
      </c>
    </row>
    <row r="525" ht="12.75">
      <c r="A525" t="str">
        <f>'XML Calculations'!K525</f>
        <v>&lt;CostOfAttendanceNotAvailable&gt;False&lt;/CostOfAttendanceNotAvailable&gt;</v>
      </c>
    </row>
    <row r="526" ht="12.75">
      <c r="A526" t="str">
        <f>'XML Calculations'!K526</f>
        <v>&lt;CostOfAttendanceAvailableDate&gt;-1&lt;/CostOfAttendanceAvailableDate&gt;</v>
      </c>
    </row>
    <row r="527" ht="12.75">
      <c r="A527" t="str">
        <f>'XML Calculations'!K527</f>
        <v>&lt;TuitionPrivateFreshmen Question="G1"&gt;-1&lt;/TuitionPrivateFreshmen&gt;</v>
      </c>
    </row>
    <row r="528" ht="12.75">
      <c r="A528" t="str">
        <f>'XML Calculations'!K528</f>
        <v>&lt;TuitionPrivateStudents Question="G1"&gt;-1&lt;/TuitionPrivateStudents&gt;</v>
      </c>
    </row>
    <row r="529" ht="12.75">
      <c r="A529" t="str">
        <f>'XML Calculations'!K529</f>
        <v>&lt;TuitionPublicFreshmenInDistrict Question="G1"&gt;6090&lt;/TuitionPublicFreshmenInDistrict&gt;</v>
      </c>
    </row>
    <row r="530" ht="12.75">
      <c r="A530" t="str">
        <f>'XML Calculations'!K530</f>
        <v>&lt;TuitionPublicStudentsInDistrict Question="G1"&gt;6090&lt;/TuitionPublicStudentsInDistrict&gt;</v>
      </c>
    </row>
    <row r="531" ht="12.75">
      <c r="A531" t="str">
        <f>'XML Calculations'!K531</f>
        <v>&lt;TuitionPublicFreshmenInState Question="G1"&gt;6090&lt;/TuitionPublicFreshmenInState&gt;</v>
      </c>
    </row>
    <row r="532" ht="12.75">
      <c r="A532" t="str">
        <f>'XML Calculations'!K532</f>
        <v>&lt;TuitionPublicStudentsInState Question="G1"&gt;6090&lt;/TuitionPublicStudentsInState&gt;</v>
      </c>
    </row>
    <row r="533" ht="12.75">
      <c r="A533" t="str">
        <f>'XML Calculations'!K533</f>
        <v>&lt;TuitionPublicFreshmenOutOfState Question="G1"&gt;24960&lt;/TuitionPublicFreshmenOutOfState&gt;</v>
      </c>
    </row>
    <row r="534" ht="12.75">
      <c r="A534" t="str">
        <f>'XML Calculations'!K534</f>
        <v>&lt;TuitionPublicOutOfState Question="G1"&gt;24960&lt;/TuitionPublicOutOfState&gt;</v>
      </c>
    </row>
    <row r="535" ht="12.75">
      <c r="A535" t="str">
        <f>'XML Calculations'!K535</f>
        <v>&lt;TuitionFreshmenInternational Question="G1"&gt;-1&lt;/TuitionFreshmenInternational&gt;</v>
      </c>
    </row>
    <row r="536" ht="12.75">
      <c r="A536" t="str">
        <f>'XML Calculations'!K536</f>
        <v>&lt;TuitionStudentsInternational Question="G1"&gt;-1&lt;/TuitionStudentsInternational&gt;</v>
      </c>
    </row>
    <row r="537" ht="12.75">
      <c r="A537" t="str">
        <f>'XML Calculations'!K537</f>
        <v>&lt;RequiredFeesFreshmen Question="G1"&gt;4156&lt;/RequiredFeesFreshmen&gt;</v>
      </c>
    </row>
    <row r="538" ht="12.75">
      <c r="A538" t="str">
        <f>'XML Calculations'!K538</f>
        <v>&lt;RequiredFeesStudents Question="G1"&gt;4156&lt;/RequiredFeesStudents&gt;</v>
      </c>
    </row>
    <row r="539" ht="12.75">
      <c r="A539" t="str">
        <f>'XML Calculations'!K539</f>
        <v>&lt;RoomAndBoardFreshmen Question="G1"&gt;8030&lt;/RoomAndBoardFreshmen&gt;</v>
      </c>
    </row>
    <row r="540" ht="12.75">
      <c r="A540" t="str">
        <f>'XML Calculations'!K540</f>
        <v>&lt;RoomAndBoardStudents Question="G1"&gt;8030&lt;/RoomAndBoardStudents&gt;</v>
      </c>
    </row>
    <row r="541" ht="12.75">
      <c r="A541" t="str">
        <f>'XML Calculations'!K541</f>
        <v>&lt;RoomOnlyFreshmen Question="G1"&gt;4746&lt;/RoomOnlyFreshmen&gt;</v>
      </c>
    </row>
    <row r="542" ht="12.75">
      <c r="A542" t="str">
        <f>'XML Calculations'!K542</f>
        <v>&lt;RoomOnlyStudents Question="G1"&gt;4746&lt;/RoomOnlyStudents&gt;</v>
      </c>
    </row>
    <row r="543" ht="12.75">
      <c r="A543" t="str">
        <f>'XML Calculations'!K543</f>
        <v>&lt;BoardOnlyFreshmen Question="G1"&gt;3284&lt;/BoardOnlyFreshmen&gt;</v>
      </c>
    </row>
    <row r="544" ht="12.75">
      <c r="A544" t="str">
        <f>'XML Calculations'!K544</f>
        <v>&lt;BoardOnlyStudents Question="G1"&gt;3284&lt;/BoardOnlyStudents&gt;</v>
      </c>
    </row>
    <row r="545" ht="12.75">
      <c r="A545" t="str">
        <f>'XML Calculations'!K545</f>
        <v>&lt;ComprehensiveTuitionAndRoomAndBoard Question="G1"&gt;NA&lt;/ComprehensiveTuitionAndRoomAndBoard&gt;</v>
      </c>
    </row>
    <row r="546" ht="12.75">
      <c r="A546" t="str">
        <f>'XML Calculations'!K546</f>
        <v>&lt;CostOfAttendanceOther Question="G1"&gt;&lt;![CDATA[]]&gt;&lt;/CostOfAttendanceOther&gt;</v>
      </c>
    </row>
    <row r="547" ht="12.75">
      <c r="A547" t="str">
        <f>'XML Calculations'!K547</f>
        <v>&lt;CreditsForFullTuitionMinimum Question="G2"&gt;12&lt;/CreditsForFullTuitionMinimum&gt;</v>
      </c>
    </row>
    <row r="548" ht="12.75">
      <c r="A548" t="str">
        <f>'XML Calculations'!K548</f>
        <v>&lt;CreditsForFullTuitionMaximum Question="G2"&gt;18&lt;/CreditsForFullTuitionMaximum&gt;</v>
      </c>
    </row>
    <row r="549" ht="12.75">
      <c r="A549" t="str">
        <f>'XML Calculations'!K549</f>
        <v>&lt;TuitionVaryByYear Question="G3"&gt;0&lt;/TuitionVaryByYear&gt;</v>
      </c>
    </row>
    <row r="550" ht="12.75">
      <c r="A550" t="str">
        <f>'XML Calculations'!K550</f>
        <v>&lt;TuitionVaryByProgramExplanation Question="G4"&gt;&lt;![CDATA[]]&gt;&lt;/TuitionVaryByProgramExplanation&gt;</v>
      </c>
    </row>
    <row r="551" ht="12.75">
      <c r="A551" t="str">
        <f>'XML Calculations'!K551</f>
        <v>&lt;ExpensesBooksResidents Question="G5"&gt;1000&lt;/ExpensesBooksResidents&gt;</v>
      </c>
    </row>
    <row r="552" ht="12.75">
      <c r="A552" t="str">
        <f>'XML Calculations'!K552</f>
        <v>&lt;ExpensesBooksHomeCommuters Question="G5"&gt;1000&lt;/ExpensesBooksHomeCommuters&gt;</v>
      </c>
    </row>
    <row r="553" ht="12.75">
      <c r="A553" t="str">
        <f>'XML Calculations'!K553</f>
        <v>&lt;ExpensesBooksNonHomeCommuters Question="G5"&gt;1000&lt;/ExpensesBooksNonHomeCommuters&gt;</v>
      </c>
    </row>
    <row r="554" ht="12.75">
      <c r="A554" t="str">
        <f>'XML Calculations'!K554</f>
        <v>&lt;ExpensesRoomNonHomeCommuters Question="G5"&gt;4746&lt;/ExpensesRoomNonHomeCommuters&gt;</v>
      </c>
    </row>
    <row r="555" ht="12.75">
      <c r="A555" t="str">
        <f>'XML Calculations'!K555</f>
        <v>&lt;ExpensesBoardHomeCommuters Question="G5"&gt;3284&lt;/ExpensesBoardHomeCommuters&gt;</v>
      </c>
    </row>
    <row r="556" ht="12.75">
      <c r="A556" t="str">
        <f>'XML Calculations'!K556</f>
        <v>&lt;ExpensesBoardNonHomeCommuters Question="G5"&gt;3284&lt;/ExpensesBoardNonHomeCommuters&gt;</v>
      </c>
    </row>
    <row r="557" ht="12.75">
      <c r="A557" t="str">
        <f>'XML Calculations'!K557</f>
        <v>&lt;ExpensesRoomAndBoardNonHomeCommuters Question="G5"&gt;-1&lt;/ExpensesRoomAndBoardNonHomeCommuters&gt;</v>
      </c>
    </row>
    <row r="558" ht="12.75">
      <c r="A558" t="str">
        <f>'XML Calculations'!K558</f>
        <v>&lt;ExpensesTransportationResidents Question="G5"&gt;500&lt;/ExpensesTransportationResidents&gt;</v>
      </c>
    </row>
    <row r="559" ht="12.75">
      <c r="A559" t="str">
        <f>'XML Calculations'!K559</f>
        <v>&lt;ExpensesTransportationHomeCommuters Question="G5"&gt;1000&lt;/ExpensesTransportationHomeCommuters&gt;</v>
      </c>
    </row>
    <row r="560" ht="12.75">
      <c r="A560" t="str">
        <f>'XML Calculations'!K560</f>
        <v>&lt;ExpensesTransportationNonHomeCommuters Question="G5"&gt;500&lt;/ExpensesTransportationNonHomeCommuters&gt;</v>
      </c>
    </row>
    <row r="561" ht="12.75">
      <c r="A561" t="str">
        <f>'XML Calculations'!K561</f>
        <v>&lt;ExpensesOtherResidents Question="G5"&gt;1150&lt;/ExpensesOtherResidents&gt;</v>
      </c>
    </row>
    <row r="562" ht="12.75">
      <c r="A562" t="str">
        <f>'XML Calculations'!K562</f>
        <v>&lt;ExpensesOtherHomeCommuters Question="G5"&gt;1150&lt;/ExpensesOtherHomeCommuters&gt;</v>
      </c>
    </row>
    <row r="563" ht="12.75">
      <c r="A563" t="str">
        <f>'XML Calculations'!K563</f>
        <v>&lt;ExpensesOtherNonHomeCommuters Question="G5"&gt;1150&lt;/ExpensesOtherNonHomeCommuters&gt;</v>
      </c>
    </row>
    <row r="564" ht="12.75">
      <c r="A564" t="str">
        <f>'XML Calculations'!K564</f>
        <v>&lt;TuitionPerCreditPrivate Question="G6"&gt;-1&lt;/TuitionPerCreditPrivate&gt;</v>
      </c>
    </row>
    <row r="565" ht="12.75">
      <c r="A565" t="str">
        <f>'XML Calculations'!K565</f>
        <v>&lt;TuitionPerCreditPublicInDistrict Question="G6"&gt;225&lt;/TuitionPerCreditPublicInDistrict&gt;</v>
      </c>
    </row>
    <row r="566" ht="12.75">
      <c r="A566" t="str">
        <f>'XML Calculations'!K566</f>
        <v>&lt;TuitionPerCreditPublicInState Question="G6"&gt;225&lt;/TuitionPerCreditPublicInState&gt;</v>
      </c>
    </row>
    <row r="567" ht="12.75">
      <c r="A567" t="str">
        <f>'XML Calculations'!K567</f>
        <v>&lt;TuitionPerCreditPublicOutOfState Question="G6"&gt;840&lt;/TuitionPerCreditPublicOutOfState&gt;</v>
      </c>
    </row>
    <row r="568" ht="12.75">
      <c r="A568" t="str">
        <f>'XML Calculations'!K568</f>
        <v>&lt;TuitionPerCreditInternational Question="G6"&gt;-1&lt;/TuitionPerCreditInternational&gt;</v>
      </c>
    </row>
    <row r="569" ht="12.75">
      <c r="A569" t="str">
        <f>'XML Calculations'!K569</f>
        <v>&lt;/AnnualExpenses&gt;</v>
      </c>
    </row>
    <row r="570" ht="12.75">
      <c r="A570" t="str">
        <f>'XML Calculations'!K570</f>
        <v>&lt;FinancialAid Section="H"&gt;</v>
      </c>
    </row>
    <row r="571" ht="12.75">
      <c r="A571" t="str">
        <f>'XML Calculations'!K571</f>
        <v>&lt;AidDataYear Question="H1"&gt;2007&lt;/AidDataYear&gt;</v>
      </c>
    </row>
    <row r="572" ht="12.75">
      <c r="A572" t="str">
        <f>'XML Calculations'!K572</f>
        <v>&lt;NeedsAnalysisMethodology Question="H3"&gt;1&lt;/NeedsAnalysisMethodology&gt;</v>
      </c>
    </row>
    <row r="573" ht="12.75">
      <c r="A573" t="str">
        <f>'XML Calculations'!K573</f>
        <v>&lt;GrantsFederalNeed Question="H1"&gt;1554751&lt;/GrantsFederalNeed&gt;</v>
      </c>
    </row>
    <row r="574" ht="12.75">
      <c r="A574" t="str">
        <f>'XML Calculations'!K574</f>
        <v>&lt;GrantsFederalNonNeed Question="H1"&gt;421750&lt;/GrantsFederalNonNeed&gt;</v>
      </c>
    </row>
    <row r="575" ht="12.75">
      <c r="A575" t="str">
        <f>'XML Calculations'!K575</f>
        <v>&lt;GrantsStateNeed Question="H1"&gt;2917347&lt;/GrantsStateNeed&gt;</v>
      </c>
    </row>
    <row r="576" ht="12.75">
      <c r="A576" t="str">
        <f>'XML Calculations'!K576</f>
        <v>&lt;GrantsStateNonNeed Question="H1"&gt;0&lt;/GrantsStateNonNeed&gt;</v>
      </c>
    </row>
    <row r="577" ht="12.75">
      <c r="A577" t="str">
        <f>'XML Calculations'!K577</f>
        <v>&lt;GrantsInstitutionalNeed Question="H1"&gt;8013003&lt;/GrantsInstitutionalNeed&gt;</v>
      </c>
    </row>
    <row r="578" ht="12.75">
      <c r="A578" t="str">
        <f>'XML Calculations'!K578</f>
        <v>&lt;GrantsInstitutionalNonNeed Question="H1"&gt;2379345&lt;/GrantsInstitutionalNonNeed&gt;</v>
      </c>
    </row>
    <row r="579" ht="12.75">
      <c r="A579" t="str">
        <f>'XML Calculations'!K579</f>
        <v>&lt;GrantsExternalNeed Question="H1"&gt;0&lt;/GrantsExternalNeed&gt;</v>
      </c>
    </row>
    <row r="580" ht="12.75">
      <c r="A580" t="str">
        <f>'XML Calculations'!K580</f>
        <v>&lt;GrantsExternalNonNeed Question="H1"&gt;2408149&lt;/GrantsExternalNonNeed&gt;</v>
      </c>
    </row>
    <row r="581" ht="12.75">
      <c r="A581" t="str">
        <f>'XML Calculations'!K581</f>
        <v>&lt;GrantsTotalNeed Question="H1"&gt;12485101&lt;/GrantsTotalNeed&gt;</v>
      </c>
    </row>
    <row r="582" ht="12.75">
      <c r="A582" t="str">
        <f>'XML Calculations'!K582</f>
        <v>&lt;GrantsTotalNonNeed Question="H1"&gt;5209244&lt;/GrantsTotalNonNeed&gt;</v>
      </c>
    </row>
    <row r="583" ht="12.75">
      <c r="A583" t="str">
        <f>'XML Calculations'!K583</f>
        <v>&lt;SelfHelpStudentLoansNeed Question="H1"&gt;3906051&lt;/SelfHelpStudentLoansNeed&gt;</v>
      </c>
    </row>
    <row r="584" ht="12.75">
      <c r="A584" t="str">
        <f>'XML Calculations'!K584</f>
        <v>&lt;SelfHelpStudentLoansNonNeed Question="H1"&gt;5936196&lt;/SelfHelpStudentLoansNonNeed&gt;</v>
      </c>
    </row>
    <row r="585" ht="12.75">
      <c r="A585" t="str">
        <f>'XML Calculations'!K585</f>
        <v>&lt;SelfHelpFederalWorkStudy Question="H1"&gt;176434&lt;/SelfHelpFederalWorkStudy&gt;</v>
      </c>
    </row>
    <row r="586" ht="12.75">
      <c r="A586" t="str">
        <f>'XML Calculations'!K586</f>
        <v>&lt;SelfHelpOtherWorkStudyNeed Question="H1"&gt;0&lt;/SelfHelpOtherWorkStudyNeed&gt;</v>
      </c>
    </row>
    <row r="587" ht="12.75">
      <c r="A587" t="str">
        <f>'XML Calculations'!K587</f>
        <v>&lt;SelfHelpOtherWorkStudyNonNeed Question="H1"&gt;0&lt;/SelfHelpOtherWorkStudyNonNeed&gt;</v>
      </c>
    </row>
    <row r="588" ht="12.75">
      <c r="A588" t="str">
        <f>'XML Calculations'!K588</f>
        <v>&lt;SelfHelpTotalNeed Question="H1"&gt;4082485&lt;/SelfHelpTotalNeed&gt;</v>
      </c>
    </row>
    <row r="589" ht="12.75">
      <c r="A589" t="str">
        <f>'XML Calculations'!K589</f>
        <v>&lt;SelfHelpTotalNonNeed Question="H1"&gt;5936196&lt;/SelfHelpTotalNonNeed&gt;</v>
      </c>
    </row>
    <row r="590" ht="12.75">
      <c r="A590" t="str">
        <f>'XML Calculations'!K590</f>
        <v>&lt;OtherFinancialAidParentLoansNeed Question="H1"&gt;0&lt;/OtherFinancialAidParentLoansNeed&gt;</v>
      </c>
    </row>
    <row r="591" ht="12.75">
      <c r="A591" t="str">
        <f>'XML Calculations'!K591</f>
        <v>&lt;OtherFinancialAidParentLoansNonNeed Question="H1"&gt;5624150&lt;/OtherFinancialAidParentLoansNonNeed&gt;</v>
      </c>
    </row>
    <row r="592" ht="12.75">
      <c r="A592" t="str">
        <f>'XML Calculations'!K592</f>
        <v>&lt;OtherFinancialAidTuitionWaversNeed Question="H1"&gt;440605&lt;/OtherFinancialAidTuitionWaversNeed&gt;</v>
      </c>
    </row>
    <row r="593" ht="12.75">
      <c r="A593" t="str">
        <f>'XML Calculations'!K593</f>
        <v>&lt;OtherFinancialAidTuitionWaversNonNeed Question="H1"&gt;0&lt;/OtherFinancialAidTuitionWaversNonNeed&gt;</v>
      </c>
    </row>
    <row r="594" ht="12.75">
      <c r="A594" t="str">
        <f>'XML Calculations'!K594</f>
        <v>&lt;OtherFinancialAidAthleticNeed Question="H1"&gt;0&lt;/OtherFinancialAidAthleticNeed&gt;</v>
      </c>
    </row>
    <row r="595" ht="12.75">
      <c r="A595" t="str">
        <f>'XML Calculations'!K595</f>
        <v>&lt;OtherFinancialAidAthleticNonNeed Question="H1"&gt;5030605&lt;/OtherFinancialAidAthleticNonNeed&gt;</v>
      </c>
    </row>
    <row r="596" ht="12.75">
      <c r="A596" t="str">
        <f>'XML Calculations'!K596</f>
        <v>&lt;FreshmanFullTime Question="H2"&gt;1345&lt;/FreshmanFullTime&gt;</v>
      </c>
    </row>
    <row r="597" ht="12.75">
      <c r="A597" t="str">
        <f>'XML Calculations'!K597</f>
        <v>&lt;UndergradFullTime Question="H2"&gt;5671&lt;/UndergradFullTime&gt;</v>
      </c>
    </row>
    <row r="598" ht="12.75">
      <c r="A598" t="str">
        <f>'XML Calculations'!K598</f>
        <v>&lt;UndergradPartTime Question="H2"&gt;-1&lt;/UndergradPartTime&gt;</v>
      </c>
    </row>
    <row r="599" ht="12.75">
      <c r="A599" t="str">
        <f>'XML Calculations'!K599</f>
        <v>&lt;FreshmanFullTimeAppliedForNeedBasedAid Question="H2"&gt;883&lt;/FreshmanFullTimeAppliedForNeedBasedAid&gt;</v>
      </c>
    </row>
    <row r="600" ht="12.75">
      <c r="A600" t="str">
        <f>'XML Calculations'!K600</f>
        <v>&lt;UndergradFullTimeAppliedForNeedBasedAid Question="H2"&gt;2670&lt;/UndergradFullTimeAppliedForNeedBasedAid&gt;</v>
      </c>
    </row>
    <row r="601" ht="12.75">
      <c r="A601" t="str">
        <f>'XML Calculations'!K601</f>
        <v>&lt;UndergradPartTimeAppliedForNeedBasedAid Question="H2"&gt;-1&lt;/UndergradPartTimeAppliedForNeedBasedAid&gt;</v>
      </c>
    </row>
    <row r="602" ht="12.75">
      <c r="A602" t="str">
        <f>'XML Calculations'!K602</f>
        <v>&lt;FreshmanFullTimeWithNeed Question="H2"&gt;397&lt;/FreshmanFullTimeWithNeed&gt;</v>
      </c>
    </row>
    <row r="603" ht="12.75">
      <c r="A603" t="str">
        <f>'XML Calculations'!K603</f>
        <v>&lt;UndergradFullTimeWithNeed Question="H2"&gt;1588&lt;/UndergradFullTimeWithNeed&gt;</v>
      </c>
    </row>
    <row r="604" ht="12.75">
      <c r="A604" t="str">
        <f>'XML Calculations'!K604</f>
        <v>&lt;UndergradPartTimeWithNeed Question="H2"&gt;-1&lt;/UndergradPartTimeWithNeed&gt;</v>
      </c>
    </row>
    <row r="605" ht="12.75">
      <c r="A605" t="str">
        <f>'XML Calculations'!K605</f>
        <v>&lt;FreshmanFullTimeAwardedAnyFinancialAid Question="H2"&gt;397&lt;/FreshmanFullTimeAwardedAnyFinancialAid&gt;</v>
      </c>
    </row>
    <row r="606" ht="12.75">
      <c r="A606" t="str">
        <f>'XML Calculations'!K606</f>
        <v>&lt;UndergradFullTimeAwardedAnyFinancialAid Question="H2"&gt;1588&lt;/UndergradFullTimeAwardedAnyFinancialAid&gt;</v>
      </c>
    </row>
    <row r="607" ht="12.75">
      <c r="A607" t="str">
        <f>'XML Calculations'!K607</f>
        <v>&lt;UndergradPartTimeAwardedAnyFinancialAid Question="H2"&gt;-1&lt;/UndergradPartTimeAwardedAnyFinancialAid&gt;</v>
      </c>
    </row>
    <row r="608" ht="12.75">
      <c r="A608" t="str">
        <f>'XML Calculations'!K608</f>
        <v>&lt;FreshmanFullTimeAwardedNeedBasedGrant Question="H2"&gt;301&lt;/FreshmanFullTimeAwardedNeedBasedGrant&gt;</v>
      </c>
    </row>
    <row r="609" ht="12.75">
      <c r="A609" t="str">
        <f>'XML Calculations'!K609</f>
        <v>&lt;UndergradFullTimeAwardedNeedBasedGrant Question="H2"&gt;1280&lt;/UndergradFullTimeAwardedNeedBasedGrant&gt;</v>
      </c>
    </row>
    <row r="610" ht="12.75">
      <c r="A610" t="str">
        <f>'XML Calculations'!K610</f>
        <v>&lt;UndergradPartTimeAwardedNeedBasedGrant Question="H2"&gt;-1&lt;/UndergradPartTimeAwardedNeedBasedGrant&gt;</v>
      </c>
    </row>
    <row r="611" ht="12.75">
      <c r="A611" t="str">
        <f>'XML Calculations'!K611</f>
        <v>&lt;FreshmanFullTimeAwardedNeedBasedSelfHelp Question="H2"&gt;314&lt;/FreshmanFullTimeAwardedNeedBasedSelfHelp&gt;</v>
      </c>
    </row>
    <row r="612" ht="12.75">
      <c r="A612" t="str">
        <f>'XML Calculations'!K612</f>
        <v>&lt;UndergradFullTimeAwardedNeedBasedSelfHelp Question="H2"&gt;1372&lt;/UndergradFullTimeAwardedNeedBasedSelfHelp&gt;</v>
      </c>
    </row>
    <row r="613" ht="12.75">
      <c r="A613" t="str">
        <f>'XML Calculations'!K613</f>
        <v>&lt;UndergradPartTimeAwardedNeedBasedSelfHelp Question="H2"&gt;-1&lt;/UndergradPartTimeAwardedNeedBasedSelfHelp&gt;</v>
      </c>
    </row>
    <row r="614" ht="12.75">
      <c r="A614" t="str">
        <f>'XML Calculations'!K614</f>
        <v>&lt;FreshmanFullTimeAwardedNonNeedBasedGrant Question="H2"&gt;188&lt;/FreshmanFullTimeAwardedNonNeedBasedGrant&gt;</v>
      </c>
    </row>
    <row r="615" ht="12.75">
      <c r="A615" t="str">
        <f>'XML Calculations'!K615</f>
        <v>&lt;UndergradFullTimeAwardedNonNeedBasedGrant Question="H2"&gt;525&lt;/UndergradFullTimeAwardedNonNeedBasedGrant&gt;</v>
      </c>
    </row>
    <row r="616" ht="12.75">
      <c r="A616" t="str">
        <f>'XML Calculations'!K616</f>
        <v>&lt;UndergradPartTimeAwardedNonNeedBasedGrant Question="H2"&gt;-1&lt;/UndergradPartTimeAwardedNonNeedBasedGrant&gt;</v>
      </c>
    </row>
    <row r="617" ht="12.75">
      <c r="A617" t="str">
        <f>'XML Calculations'!K617</f>
        <v>&lt;FreshmanFullTimeNeedFullyMet Question="H2"&gt;191&lt;/FreshmanFullTimeNeedFullyMet&gt;</v>
      </c>
    </row>
    <row r="618" ht="12.75">
      <c r="A618" t="str">
        <f>'XML Calculations'!K618</f>
        <v>&lt;UndergradFullTimeNeedFullyMet Question="H2"&gt;748&lt;/UndergradFullTimeNeedFullyMet&gt;</v>
      </c>
    </row>
    <row r="619" ht="12.75">
      <c r="A619" t="str">
        <f>'XML Calculations'!K619</f>
        <v>&lt;UndergradPartTimeNeedFullyMet Question="H2"&gt;-1&lt;/UndergradPartTimeNeedFullyMet&gt;</v>
      </c>
    </row>
    <row r="620" ht="12.75">
      <c r="A620" t="str">
        <f>'XML Calculations'!K620</f>
        <v>&lt;FreshmanFullTimePercentOfNeedMet Question="H2"&gt;85&lt;/FreshmanFullTimePercentOfNeedMet&gt;</v>
      </c>
    </row>
    <row r="621" ht="12.75">
      <c r="A621" t="str">
        <f>'XML Calculations'!K621</f>
        <v>&lt;UndergradFullTimePercentOfNeedMet Question="H2"&gt;86&lt;/UndergradFullTimePercentOfNeedMet&gt;</v>
      </c>
    </row>
    <row r="622" ht="12.75">
      <c r="A622" t="str">
        <f>'XML Calculations'!K622</f>
        <v>&lt;UndergradPartTimePercentOfNeedMet Question="H2"&gt;-1&lt;/UndergradPartTimePercentOfNeedMet&gt;</v>
      </c>
    </row>
    <row r="623" ht="12.75">
      <c r="A623" t="str">
        <f>'XML Calculations'!K623</f>
        <v>&lt;FreshmanFullTimeAverageFinancialAidPackage Question="H2"&gt;12980&lt;/FreshmanFullTimeAverageFinancialAidPackage&gt;</v>
      </c>
    </row>
    <row r="624" ht="12.75">
      <c r="A624" t="str">
        <f>'XML Calculations'!K624</f>
        <v>&lt;UndergradFullTimeAverageFinancialAidPackage Question="H2"&gt;13302&lt;/UndergradFullTimeAverageFinancialAidPackage&gt;</v>
      </c>
    </row>
    <row r="625" ht="12.75">
      <c r="A625" t="str">
        <f>'XML Calculations'!K625</f>
        <v>&lt;UndergradPartTimeAverageFinancialAidPackage Question="H2"&gt;-1&lt;/UndergradPartTimeAverageFinancialAidPackage&gt;</v>
      </c>
    </row>
    <row r="626" ht="12.75">
      <c r="A626" t="str">
        <f>'XML Calculations'!K626</f>
        <v>&lt;FreshmanFullTimeAverageNeedBasedGrant Question="H2"&gt;12376&lt;/FreshmanFullTimeAverageNeedBasedGrant&gt;</v>
      </c>
    </row>
    <row r="627" ht="12.75">
      <c r="A627" t="str">
        <f>'XML Calculations'!K627</f>
        <v>&lt;UndergradFullTimeAverageNeedBasedGrant Question="H2"&gt;12884&lt;/UndergradFullTimeAverageNeedBasedGrant&gt;</v>
      </c>
    </row>
    <row r="628" ht="12.75">
      <c r="A628" t="str">
        <f>'XML Calculations'!K628</f>
        <v>&lt;UndergradPartTimeAverageNeedBasedGrant Question="H2"&gt;-1&lt;/UndergradPartTimeAverageNeedBasedGrant&gt;</v>
      </c>
    </row>
    <row r="629" ht="12.75">
      <c r="A629" t="str">
        <f>'XML Calculations'!K629</f>
        <v>&lt;FreshmanFullTimeAverageNeedBasedSelfHelp Question="H2"&gt;2701&lt;/FreshmanFullTimeAverageNeedBasedSelfHelp&gt;</v>
      </c>
    </row>
    <row r="630" ht="12.75">
      <c r="A630" t="str">
        <f>'XML Calculations'!K630</f>
        <v>&lt;UndergradFullTimeAverageNeedBasedSelfHelp Question="H2"&gt;2959&lt;/UndergradFullTimeAverageNeedBasedSelfHelp&gt;</v>
      </c>
    </row>
    <row r="631" ht="12.75">
      <c r="A631" t="str">
        <f>'XML Calculations'!K631</f>
        <v>&lt;UndergradPartTimeAverageNeedBasedSelfHelp Question="H2"&gt;-1&lt;/UndergradPartTimeAverageNeedBasedSelfHelp&gt;</v>
      </c>
    </row>
    <row r="632" ht="12.75">
      <c r="A632" t="str">
        <f>'XML Calculations'!K632</f>
        <v>&lt;FreshmanFullTimeAverageNeedBasedLoan Question="H2"&gt;2330&lt;/FreshmanFullTimeAverageNeedBasedLoan&gt;</v>
      </c>
    </row>
    <row r="633" ht="12.75">
      <c r="A633" t="str">
        <f>'XML Calculations'!K633</f>
        <v>&lt;UndergradFullTimeAverageNeedBasedLoan Question="H2"&gt;2830&lt;/UndergradFullTimeAverageNeedBasedLoan&gt;</v>
      </c>
    </row>
    <row r="634" ht="12.75">
      <c r="A634" t="str">
        <f>'XML Calculations'!K634</f>
        <v>&lt;UndergradPartTimeAverageNeedBasedLoan Question="H2"&gt;-1&lt;/UndergradPartTimeAverageNeedBasedLoan&gt;</v>
      </c>
    </row>
    <row r="635" ht="12.75">
      <c r="A635" t="str">
        <f>'XML Calculations'!K635</f>
        <v>&lt;FreshmanFullTimeNoNeedAwardedNonNeedBasedGrant Question="H2A"&gt;22&lt;/FreshmanFullTimeNoNeedAwardedNonNeedBasedGrant&gt;</v>
      </c>
    </row>
    <row r="636" ht="12.75">
      <c r="A636" t="str">
        <f>'XML Calculations'!K636</f>
        <v>&lt;UndergradFullTimeNoNeedAwardedNonNeedBasedGrant Question="H2A"&gt;259&lt;/UndergradFullTimeNoNeedAwardedNonNeedBasedGrant&gt;</v>
      </c>
    </row>
    <row r="637" ht="12.75">
      <c r="A637" t="str">
        <f>'XML Calculations'!K637</f>
        <v>&lt;UndergradPartTimeNoNeedAwardedNonNeedBasedGrant Question="H2A"&gt;-1&lt;/UndergradPartTimeNoNeedAwardedNonNeedBasedGrant&gt;</v>
      </c>
    </row>
    <row r="638" ht="12.75">
      <c r="A638" t="str">
        <f>'XML Calculations'!K638</f>
        <v>&lt;FreshmanFullTimeNoNeedAverageNonNeedBasedGrantAward Question="H2A"&gt;5854&lt;/FreshmanFullTimeNoNeedAverageNonNeedBasedGrantAward&gt;</v>
      </c>
    </row>
    <row r="639" ht="12.75">
      <c r="A639" t="str">
        <f>'XML Calculations'!K639</f>
        <v>&lt;UndergradFullTimeNoNeedAverageNonNeedBasedGrantAward Question="H2A"&gt;5403&lt;/UndergradFullTimeNoNeedAverageNonNeedBasedGrantAward&gt;</v>
      </c>
    </row>
    <row r="640" ht="12.75">
      <c r="A640" t="str">
        <f>'XML Calculations'!K640</f>
        <v>&lt;UndergradPartTimeNoNeedAverageNonNeedBasedGrantAward Question="H2A"&gt;-1&lt;/UndergradPartTimeNoNeedAverageNonNeedBasedGrantAward&gt;</v>
      </c>
    </row>
    <row r="641" ht="12.75">
      <c r="A641" t="str">
        <f>'XML Calculations'!K641</f>
        <v>&lt;FreshmanFullTimeNoNeedAwardedAthleticScholarship Question="H2A"&gt;72&lt;/FreshmanFullTimeNoNeedAwardedAthleticScholarship&gt;</v>
      </c>
    </row>
    <row r="642" ht="12.75">
      <c r="A642" t="str">
        <f>'XML Calculations'!K642</f>
        <v>&lt;UndergradFullTimeNoNeedAwardedAthleticScholarship Question="H2A"&gt;319&lt;/UndergradFullTimeNoNeedAwardedAthleticScholarship&gt;</v>
      </c>
    </row>
    <row r="643" ht="12.75">
      <c r="A643" t="str">
        <f>'XML Calculations'!K643</f>
        <v>&lt;UndergradPartTimeNoNeedAwardedAthleticScholarship Question="H2A"&gt;-1&lt;/UndergradPartTimeNoNeedAwardedAthleticScholarship&gt;</v>
      </c>
    </row>
    <row r="644" ht="12.75">
      <c r="A644" t="str">
        <f>'XML Calculations'!K644</f>
        <v>&lt;FreshmanFullTimeNoNeedAverageNonNeedBasedAthleticAwards Question="H2A"&gt;14521&lt;/FreshmanFullTimeNoNeedAverageNonNeedBasedAthleticAwards&gt;</v>
      </c>
    </row>
    <row r="645" ht="12.75">
      <c r="A645" t="str">
        <f>'XML Calculations'!K645</f>
        <v>&lt;UndergradFullTimeNoNeedAverageNonNeedBasedAthleticAwards Question="H2A"&gt;15770&lt;/UndergradFullTimeNoNeedAverageNonNeedBasedAthleticAwards&gt;</v>
      </c>
    </row>
    <row r="646" ht="12.75">
      <c r="A646" t="str">
        <f>'XML Calculations'!K646</f>
        <v>&lt;UndergradPartTimeNoNeedAverageNonNeedBasedAthleticAwards Question="H2A"&gt;-1&lt;/UndergradPartTimeNoNeedAverageNonNeedBasedAthleticAwards&gt;</v>
      </c>
    </row>
    <row r="647" ht="12.75">
      <c r="A647" t="str">
        <f>'XML Calculations'!K647</f>
        <v>&lt;UndergradRecentGraduatesReceivedLoanPercent Question="H4"&gt;32&lt;/UndergradRecentGraduatesReceivedLoanPercent&gt;</v>
      </c>
    </row>
    <row r="648" ht="12.75">
      <c r="A648" t="str">
        <f>'XML Calculations'!K648</f>
        <v>&lt;UndergradRecentGraduatesReceivedFederalLoanPercent Question="H4A"&gt;32&lt;/UndergradRecentGraduatesReceivedFederalLoanPercent&gt;</v>
      </c>
    </row>
    <row r="649" ht="12.75">
      <c r="A649" t="str">
        <f>'XML Calculations'!K649</f>
        <v>&lt;UndergradRecentGraduatesLoanAverage Question="H5"&gt;15602&lt;/UndergradRecentGraduatesLoanAverage&gt;</v>
      </c>
    </row>
    <row r="650" ht="12.75">
      <c r="A650" t="str">
        <f>'XML Calculations'!K650</f>
        <v>&lt;UndergradRecentGraduatesFederalLoanAverage Question="H5A"&gt;12234&lt;/UndergradRecentGraduatesFederalLoanAverage&gt;</v>
      </c>
    </row>
    <row r="651" ht="12.75">
      <c r="A651" t="str">
        <f>'XML Calculations'!K651</f>
        <v>&lt;FinancialAidNeedBasedGrants Question="H6"&gt;True&lt;/FinancialAidNeedBasedGrants&gt;</v>
      </c>
    </row>
    <row r="652" ht="12.75">
      <c r="A652" t="str">
        <f>'XML Calculations'!K652</f>
        <v>&lt;FinancialAidNonNeedBasedGrants Question="H6"&gt;True&lt;/FinancialAidNonNeedBasedGrants&gt;</v>
      </c>
    </row>
    <row r="653" ht="12.75">
      <c r="A653" t="str">
        <f>'XML Calculations'!K653</f>
        <v>&lt;FinancialAidNoGrants Question="H6"&gt;True&lt;/FinancialAidNoGrants&gt;</v>
      </c>
    </row>
    <row r="654" ht="12.75">
      <c r="A654" t="str">
        <f>'XML Calculations'!K654</f>
        <v>&lt;InternationalStudentsAwardedGrants Question="H6"&gt;N/A&lt;/InternationalStudentsAwardedGrants&gt;</v>
      </c>
    </row>
    <row r="655" ht="12.75">
      <c r="A655" t="str">
        <f>'XML Calculations'!K655</f>
        <v>&lt;InternationalStudentsGrantAverage Question="H6"&gt;N/A&lt;/InternationalStudentsGrantAverage&gt;</v>
      </c>
    </row>
    <row r="656" ht="12.75">
      <c r="A656" t="str">
        <f>'XML Calculations'!K656</f>
        <v>&lt;InternationalStudentsGrantTotal Question="H6"&gt;N/A&lt;/InternationalStudentsGrantTotal&gt;</v>
      </c>
    </row>
    <row r="657" ht="12.75">
      <c r="A657" t="str">
        <f>'XML Calculations'!K657</f>
        <v>&lt;InternationalFinancialAidFormInstitutional Question="H7"&gt;True&lt;/InternationalFinancialAidFormInstitutional&gt;</v>
      </c>
    </row>
    <row r="658" ht="12.75">
      <c r="A658" t="str">
        <f>'XML Calculations'!K658</f>
        <v>&lt;InternationalFinancialAidFormCSSPROFILE Question="H7"&gt;True&lt;/InternationalFinancialAidFormCSSPROFILE&gt;</v>
      </c>
    </row>
    <row r="659" ht="12.75">
      <c r="A659" t="str">
        <f>'XML Calculations'!K659</f>
        <v>&lt;InternationalFinancialAidFormInternationalApplication Question="H7"&gt;True&lt;/InternationalFinancialAidFormInternationalApplication&gt;</v>
      </c>
    </row>
    <row r="660" ht="12.75">
      <c r="A660" t="str">
        <f>'XML Calculations'!K660</f>
        <v>&lt;InternationalFinancialAidFormCertificationOfFinances Question="H7"&gt;True&lt;/InternationalFinancialAidFormCertificationOfFinances&gt;</v>
      </c>
    </row>
    <row r="661" ht="12.75">
      <c r="A661" t="str">
        <f>'XML Calculations'!K661</f>
        <v>&lt;InternationalFinancialAidFormOther Question="H7"&gt;&lt;![CDATA[]]&gt;&lt;/InternationalFinancialAidFormOther&gt;</v>
      </c>
    </row>
    <row r="662" ht="12.75">
      <c r="A662" t="str">
        <f>'XML Calculations'!K662</f>
        <v>&lt;FreshmanFinancialAidFormFAFSA Question="H8"&gt;True&lt;/FreshmanFinancialAidFormFAFSA&gt;</v>
      </c>
    </row>
    <row r="663" ht="12.75">
      <c r="A663" t="str">
        <f>'XML Calculations'!K663</f>
        <v>&lt;FreshmanFinancialAidFormInstitution Question="H8"&gt;False&lt;/FreshmanFinancialAidFormInstitution&gt;</v>
      </c>
    </row>
    <row r="664" ht="12.75">
      <c r="A664" t="str">
        <f>'XML Calculations'!K664</f>
        <v>&lt;FreshmanFinancialAidFormCSSPROFILE Question="H8"&gt;False&lt;/FreshmanFinancialAidFormCSSPROFILE&gt;</v>
      </c>
    </row>
    <row r="665" ht="12.75">
      <c r="A665" t="str">
        <f>'XML Calculations'!K665</f>
        <v>&lt;FreshmanFinancialAidFormState Question="H8"&gt;False&lt;/FreshmanFinancialAidFormState&gt;</v>
      </c>
    </row>
    <row r="666" ht="12.75">
      <c r="A666" t="str">
        <f>'XML Calculations'!K666</f>
        <v>&lt;FreshmanFinancialAidFormNoncustodialPROFILE Question="H8"&gt;False&lt;/FreshmanFinancialAidFormNoncustodialPROFILE&gt;</v>
      </c>
    </row>
    <row r="667" ht="12.75">
      <c r="A667" t="str">
        <f>'XML Calculations'!K667</f>
        <v>&lt;FreshmanFinancialAidFormBusinessSupplement Question="H8"&gt;False&lt;/FreshmanFinancialAidFormBusinessSupplement&gt;</v>
      </c>
    </row>
    <row r="668" ht="12.75">
      <c r="A668" t="str">
        <f>'XML Calculations'!K668</f>
        <v>&lt;FreshmanFinancialAidFormOther Question="H8"&gt;&lt;![CDATA[]]&gt;&lt;/FreshmanFinancialAidFormOther&gt;</v>
      </c>
    </row>
    <row r="669" ht="12.75">
      <c r="A669" t="str">
        <f>'XML Calculations'!K669</f>
        <v>&lt;PriorityFilingDate Question="H9"&gt;2/15&lt;/PriorityFilingDate&gt;</v>
      </c>
    </row>
    <row r="670" ht="12.75">
      <c r="A670" t="str">
        <f>'XML Calculations'!K670</f>
        <v>&lt;DeadlineFilingDate Question="H9"&gt;-1&lt;/DeadlineFilingDate&gt;</v>
      </c>
    </row>
    <row r="671" ht="12.75">
      <c r="A671" t="str">
        <f>'XML Calculations'!K671</f>
        <v>&lt;NoFilingDate Question="H9"&gt;False&lt;/NoFilingDate&gt;</v>
      </c>
    </row>
    <row r="672" ht="12.75">
      <c r="A672" t="str">
        <f>'XML Calculations'!K672</f>
        <v>&lt;FinancialAidNotificationRegularDate Question="H10"&gt;4/1&lt;/FinancialAidNotificationRegularDate&gt;</v>
      </c>
    </row>
    <row r="673" ht="12.75">
      <c r="A673" t="str">
        <f>'XML Calculations'!K673</f>
        <v>&lt;RollingNotification Question="H10"&gt;True&lt;/RollingNotification&gt;</v>
      </c>
    </row>
    <row r="674" ht="12.75">
      <c r="A674" t="str">
        <f>'XML Calculations'!K674</f>
        <v>&lt;FinancialAidNotificationRollingStartDate Question="H10"&gt;3/15&lt;/FinancialAidNotificationRollingStartDate&gt;</v>
      </c>
    </row>
    <row r="675" ht="12.75">
      <c r="A675" t="str">
        <f>'XML Calculations'!K675</f>
        <v>&lt;FinancialAidStudentReplyByDate Question="H10"&gt;5/1&lt;/FinancialAidStudentReplyByDate&gt;</v>
      </c>
    </row>
    <row r="676" ht="12.75">
      <c r="A676" t="str">
        <f>'XML Calculations'!K676</f>
        <v>&lt;FinancialAidStudentReplyByPeriodWeeks Question="H10"&gt;2&lt;/FinancialAidStudentReplyByPeriodWeeks&gt;</v>
      </c>
    </row>
    <row r="677" ht="12.75">
      <c r="A677" t="str">
        <f>'XML Calculations'!K677</f>
        <v>&lt;AvailableAidLoansDirectSubsidizedStafford Question="H12"&gt;False&lt;/AvailableAidLoansDirectSubsidizedStafford&gt;</v>
      </c>
    </row>
    <row r="678" ht="12.75">
      <c r="A678" t="str">
        <f>'XML Calculations'!K678</f>
        <v>&lt;AvailableAidLoansDirectUnsubsidizedStafford Question="H12"&gt;False&lt;/AvailableAidLoansDirectUnsubsidizedStafford&gt;</v>
      </c>
    </row>
    <row r="679" ht="12.75">
      <c r="A679" t="str">
        <f>'XML Calculations'!K679</f>
        <v>&lt;AvailableAidLoansDirectPLUS Question="H12"&gt;False&lt;/AvailableAidLoansDirectPLUS&gt;</v>
      </c>
    </row>
    <row r="680" ht="12.75">
      <c r="A680" t="str">
        <f>'XML Calculations'!K680</f>
        <v>&lt;AvailableAidLoansFFELSubsidizedStafford Question="H12"&gt;True&lt;/AvailableAidLoansFFELSubsidizedStafford&gt;</v>
      </c>
    </row>
    <row r="681" ht="12.75">
      <c r="A681" t="str">
        <f>'XML Calculations'!K681</f>
        <v>&lt;AvailableAidLoansFFELUnsubsidizedStafford Question="H12"&gt;True&lt;/AvailableAidLoansFFELUnsubsidizedStafford&gt;</v>
      </c>
    </row>
    <row r="682" ht="12.75">
      <c r="A682" t="str">
        <f>'XML Calculations'!K682</f>
        <v>&lt;AvailableAidLoansFFELPLUS Question="H12"&gt;True&lt;/AvailableAidLoansFFELPLUS&gt;</v>
      </c>
    </row>
    <row r="683" ht="12.75">
      <c r="A683" t="str">
        <f>'XML Calculations'!K683</f>
        <v>&lt;AvailableAidLoansPerkins Question="H12"&gt;True&lt;/AvailableAidLoansPerkins&gt;</v>
      </c>
    </row>
    <row r="684" ht="12.75">
      <c r="A684" t="str">
        <f>'XML Calculations'!K684</f>
        <v>&lt;AvailableAidLoansFederalNursing Question="H12"&gt;False&lt;/AvailableAidLoansFederalNursing&gt;</v>
      </c>
    </row>
    <row r="685" ht="12.75">
      <c r="A685" t="str">
        <f>'XML Calculations'!K685</f>
        <v>&lt;AvailableAidLoansState Question="H12"&gt;False&lt;/AvailableAidLoansState&gt;</v>
      </c>
    </row>
    <row r="686" ht="12.75">
      <c r="A686" t="str">
        <f>'XML Calculations'!K686</f>
        <v>&lt;AvailableAidLoansInstitutional Question="H12"&gt;False&lt;/AvailableAidLoansInstitutional&gt;</v>
      </c>
    </row>
    <row r="687" ht="12.75">
      <c r="A687" t="str">
        <f>'XML Calculations'!K687</f>
        <v>&lt;AvailableAidLoansOther Question="H12"&gt;&lt;![CDATA[]]&gt;&lt;/AvailableAidLoansOther&gt;</v>
      </c>
    </row>
    <row r="688" ht="12.75">
      <c r="A688" t="str">
        <f>'XML Calculations'!K688</f>
        <v>&lt;AvailableAidGrantsPell Question="H13"&gt;True&lt;/AvailableAidGrantsPell&gt;</v>
      </c>
    </row>
    <row r="689" ht="12.75">
      <c r="A689" t="str">
        <f>'XML Calculations'!K689</f>
        <v>&lt;AvailableAidGrantsSEOG Question="H13"&gt;True&lt;/AvailableAidGrantsSEOG&gt;</v>
      </c>
    </row>
    <row r="690" ht="12.75">
      <c r="A690" t="str">
        <f>'XML Calculations'!K690</f>
        <v>&lt;AvailableAidGrantsState Question="H13"&gt;True&lt;/AvailableAidGrantsState&gt;</v>
      </c>
    </row>
    <row r="691" ht="12.75">
      <c r="A691" t="str">
        <f>'XML Calculations'!K691</f>
        <v>&lt;AvailableAidGrantsPrivate Question="H13"&gt;True&lt;/AvailableAidGrantsPrivate&gt;</v>
      </c>
    </row>
    <row r="692" ht="12.75">
      <c r="A692" t="str">
        <f>'XML Calculations'!K692</f>
        <v>&lt;AvailableAidGrantsInstitutional Question="H13"&gt;True&lt;/AvailableAidGrantsInstitutional&gt;</v>
      </c>
    </row>
    <row r="693" ht="12.75">
      <c r="A693" t="str">
        <f>'XML Calculations'!K693</f>
        <v>&lt;AvailableAidGrantsUNCF Question="H13"&gt;False&lt;/AvailableAidGrantsUNCF&gt;</v>
      </c>
    </row>
    <row r="694" ht="12.75">
      <c r="A694" t="str">
        <f>'XML Calculations'!K694</f>
        <v>&lt;AvailableAidGrantsFederalNursing Question="H13"&gt;False&lt;/AvailableAidGrantsFederalNursing&gt;</v>
      </c>
    </row>
    <row r="695" ht="12.75">
      <c r="A695" t="str">
        <f>'XML Calculations'!K695</f>
        <v>&lt;AvailableAidGrantsOther Question="H13"&gt;&lt;![CDATA[]]&gt;&lt;/AvailableAidGrantsOther&gt;</v>
      </c>
    </row>
    <row r="696" ht="12.75">
      <c r="A696" t="str">
        <f>'XML Calculations'!K696</f>
        <v>&lt;AidCriteriaNonNeedBasedAcademics Question="H14"&gt;True&lt;/AidCriteriaNonNeedBasedAcademics&gt;</v>
      </c>
    </row>
    <row r="697" ht="12.75">
      <c r="A697" t="str">
        <f>'XML Calculations'!K697</f>
        <v>&lt;AidCriteriaNeedBasedAcademics Question="H14"&gt;False&lt;/AidCriteriaNeedBasedAcademics&gt;</v>
      </c>
    </row>
    <row r="698" ht="12.75">
      <c r="A698" t="str">
        <f>'XML Calculations'!K698</f>
        <v>&lt;AidCriteriaNonNeedBasedAlumni Question="H14"&gt;False&lt;/AidCriteriaNonNeedBasedAlumni&gt;</v>
      </c>
    </row>
    <row r="699" ht="12.75">
      <c r="A699" t="str">
        <f>'XML Calculations'!K699</f>
        <v>&lt;AidCriteriaNeedBasedAlumni Question="H14"&gt;False&lt;/AidCriteriaNeedBasedAlumni&gt;</v>
      </c>
    </row>
    <row r="700" ht="12.75">
      <c r="A700" t="str">
        <f>'XML Calculations'!K700</f>
        <v>&lt;AidCriteriaNonNeedBasedArt Question="H14"&gt;False&lt;/AidCriteriaNonNeedBasedArt&gt;</v>
      </c>
    </row>
    <row r="701" ht="12.75">
      <c r="A701" t="str">
        <f>'XML Calculations'!K701</f>
        <v>&lt;AidCriteriaNeedBasedArt Question="H14"&gt;False&lt;/AidCriteriaNeedBasedArt&gt;</v>
      </c>
    </row>
    <row r="702" ht="12.75">
      <c r="A702" t="str">
        <f>'XML Calculations'!K702</f>
        <v>&lt;AidCriteriaNonNeedBasedAthletics Question="H14"&gt;True&lt;/AidCriteriaNonNeedBasedAthletics&gt;</v>
      </c>
    </row>
    <row r="703" ht="12.75">
      <c r="A703" t="str">
        <f>'XML Calculations'!K703</f>
        <v>&lt;AidCriteriaNeedBasedAthletics Question="H14"&gt;False&lt;/AidCriteriaNeedBasedAthletics&gt;</v>
      </c>
    </row>
    <row r="704" ht="12.75">
      <c r="A704" t="str">
        <f>'XML Calculations'!K704</f>
        <v>&lt;AidCriteriaNonNeedBasedJobSkills Question="H14"&gt;False&lt;/AidCriteriaNonNeedBasedJobSkills&gt;</v>
      </c>
    </row>
    <row r="705" ht="12.75">
      <c r="A705" t="str">
        <f>'XML Calculations'!K705</f>
        <v>&lt;AidCriteriaNeedBasedJobSkills Question="H14"&gt;False&lt;/AidCriteriaNeedBasedJobSkills&gt;</v>
      </c>
    </row>
    <row r="706" ht="12.75">
      <c r="A706" t="str">
        <f>'XML Calculations'!K706</f>
        <v>&lt;AidCriteriaNonNeedBasedROTC Question="H14"&gt;True&lt;/AidCriteriaNonNeedBasedROTC&gt;</v>
      </c>
    </row>
    <row r="707" ht="12.75">
      <c r="A707" t="str">
        <f>'XML Calculations'!K707</f>
        <v>&lt;AidCriteriaNonNeedBasedLeadership Question="H14"&gt;True&lt;/AidCriteriaNonNeedBasedLeadership&gt;</v>
      </c>
    </row>
    <row r="708" ht="12.75">
      <c r="A708" t="str">
        <f>'XML Calculations'!K708</f>
        <v>&lt;AidCriteriaNeedBasedLeadership Question="H14"&gt;False&lt;/AidCriteriaNeedBasedLeadership&gt;</v>
      </c>
    </row>
    <row r="709" ht="12.75">
      <c r="A709" t="str">
        <f>'XML Calculations'!K709</f>
        <v>&lt;AidCriteriaNonNeedBasedMinorityStatus Question="H14"&gt;False&lt;/AidCriteriaNonNeedBasedMinorityStatus&gt;</v>
      </c>
    </row>
    <row r="710" ht="12.75">
      <c r="A710" t="str">
        <f>'XML Calculations'!K710</f>
        <v>&lt;AidCriteriaNeedBasedMinorityStatus Question="H14"&gt;False&lt;/AidCriteriaNeedBasedMinorityStatus&gt;</v>
      </c>
    </row>
    <row r="711" ht="12.75">
      <c r="A711" t="str">
        <f>'XML Calculations'!K711</f>
        <v>&lt;AidCriteriaNonNeedBasedDrama Question="H14"&gt;False&lt;/AidCriteriaNonNeedBasedDrama&gt;</v>
      </c>
    </row>
    <row r="712" ht="12.75">
      <c r="A712" t="str">
        <f>'XML Calculations'!K712</f>
        <v>&lt;AidCriteriaNeedBasedDrama Question="H14"&gt;False&lt;/AidCriteriaNeedBasedDrama&gt;</v>
      </c>
    </row>
    <row r="713" ht="12.75">
      <c r="A713" t="str">
        <f>'XML Calculations'!K713</f>
        <v>&lt;AidCriteriaNonNeedBasedReligion Question="H14"&gt;False&lt;/AidCriteriaNonNeedBasedReligion&gt;</v>
      </c>
    </row>
    <row r="714" ht="12.75">
      <c r="A714" t="str">
        <f>'XML Calculations'!K714</f>
        <v>&lt;AidCriteriaNeedBasedReligion Question="H14"&gt;False&lt;/AidCriteriaNeedBasedReligion&gt;</v>
      </c>
    </row>
    <row r="715" ht="12.75">
      <c r="A715" t="str">
        <f>'XML Calculations'!K715</f>
        <v>&lt;AidCriteriaNonNeedBasedResidency Question="H14"&gt;False&lt;/AidCriteriaNonNeedBasedResidency&gt;</v>
      </c>
    </row>
    <row r="716" ht="12.75">
      <c r="A716" t="str">
        <f>'XML Calculations'!K716</f>
        <v>&lt;AidCriteriaNeedBasedResidency Question="H14"&gt;True&lt;/AidCriteriaNeedBasedResidency&gt;</v>
      </c>
    </row>
    <row r="717" ht="12.75">
      <c r="A717" t="str">
        <f>'XML Calculations'!K717</f>
        <v>&lt;/FinancialAid&gt;</v>
      </c>
    </row>
    <row r="718" ht="12.75">
      <c r="A718" t="str">
        <f>'XML Calculations'!K718</f>
        <v>&lt;InstructionalFacultyAndClassSize Section="I"&gt;</v>
      </c>
    </row>
    <row r="719" ht="12.75">
      <c r="A719" t="str">
        <f>'XML Calculations'!K719</f>
        <v>&lt;FacultyTotalFullTime Question="I1"&gt;619&lt;/FacultyTotalFullTime&gt;</v>
      </c>
    </row>
    <row r="720" ht="12.75">
      <c r="A720" t="str">
        <f>'XML Calculations'!K720</f>
        <v>&lt;FacultyTotalPartTime Question="I1"&gt;178&lt;/FacultyTotalPartTime&gt;</v>
      </c>
    </row>
    <row r="721" ht="12.75">
      <c r="A721" t="str">
        <f>'XML Calculations'!K721</f>
        <v>&lt;FacultyTotal Question="I1"&gt;797&lt;/FacultyTotal&gt;</v>
      </c>
    </row>
    <row r="722" ht="12.75">
      <c r="A722" t="str">
        <f>'XML Calculations'!K722</f>
        <v>&lt;FacultyMinorityFullTime Question="I1"&gt;60&lt;/FacultyMinorityFullTime&gt;</v>
      </c>
    </row>
    <row r="723" ht="12.75">
      <c r="A723" t="str">
        <f>'XML Calculations'!K723</f>
        <v>&lt;FacultyMinorityPartTime Question="I1"&gt;12&lt;/FacultyMinorityPartTime&gt;</v>
      </c>
    </row>
    <row r="724" ht="12.75">
      <c r="A724" t="str">
        <f>'XML Calculations'!K724</f>
        <v>&lt;FacultyMinorityTotal Question="I1"&gt;72&lt;/FacultyMinorityTotal&gt;</v>
      </c>
    </row>
    <row r="725" ht="12.75">
      <c r="A725" t="str">
        <f>'XML Calculations'!K725</f>
        <v>&lt;FacultyFemaleFullTime Question="I1"&gt;230&lt;/FacultyFemaleFullTime&gt;</v>
      </c>
    </row>
    <row r="726" ht="12.75">
      <c r="A726" t="str">
        <f>'XML Calculations'!K726</f>
        <v>&lt;FacultyFemalePartTime Question="I1"&gt;74&lt;/FacultyFemalePartTime&gt;</v>
      </c>
    </row>
    <row r="727" ht="12.75">
      <c r="A727" t="str">
        <f>'XML Calculations'!K727</f>
        <v>&lt;FacultyFemaleTotal Question="I1"&gt;304&lt;/FacultyFemaleTotal&gt;</v>
      </c>
    </row>
    <row r="728" ht="12.75">
      <c r="A728" t="str">
        <f>'XML Calculations'!K728</f>
        <v>&lt;FacultyMaleFullTime Question="I1"&gt;389&lt;/FacultyMaleFullTime&gt;</v>
      </c>
    </row>
    <row r="729" ht="12.75">
      <c r="A729" t="str">
        <f>'XML Calculations'!K729</f>
        <v>&lt;FacultyMalePartTime Question="I1"&gt;104&lt;/FacultyMalePartTime&gt;</v>
      </c>
    </row>
    <row r="730" ht="12.75">
      <c r="A730" t="str">
        <f>'XML Calculations'!K730</f>
        <v>&lt;FacultyMaleTotal Question="I1"&gt;493&lt;/FacultyMaleTotal&gt;</v>
      </c>
    </row>
    <row r="731" ht="12.75">
      <c r="A731" t="str">
        <f>'XML Calculations'!K731</f>
        <v>&lt;FacultyNonresidentAliensFullTime Question="I1"&gt;34&lt;/FacultyNonresidentAliensFullTime&gt;</v>
      </c>
    </row>
    <row r="732" ht="12.75">
      <c r="A732" t="str">
        <f>'XML Calculations'!K732</f>
        <v>&lt;FacultyNonresidentAliensPartTime Question="I1"&gt;6&lt;/FacultyNonresidentAliensPartTime&gt;</v>
      </c>
    </row>
    <row r="733" ht="12.75">
      <c r="A733" t="str">
        <f>'XML Calculations'!K733</f>
        <v>&lt;FacultyNonresidentAliensTotal Question="I1"&gt;40&lt;/FacultyNonresidentAliensTotal&gt;</v>
      </c>
    </row>
    <row r="734" ht="12.75">
      <c r="A734" t="str">
        <f>'XML Calculations'!K734</f>
        <v>&lt;FacultyDegreeDoctorateOrProfessionalFullTime Question="I1"&gt;554&lt;/FacultyDegreeDoctorateOrProfessionalFullTime&gt;</v>
      </c>
    </row>
    <row r="735" ht="12.75">
      <c r="A735" t="str">
        <f>'XML Calculations'!K735</f>
        <v>&lt;FacultyDegreeDoctorateOrProfessionalPartTime Question="I1"&gt;60&lt;/FacultyDegreeDoctorateOrProfessionalPartTime&gt;</v>
      </c>
    </row>
    <row r="736" ht="12.75">
      <c r="A736" t="str">
        <f>'XML Calculations'!K736</f>
        <v>&lt;FacultyDegreeDoctorateOrProfessionalTotal Question="I1"&gt;614&lt;/FacultyDegreeDoctorateOrProfessionalTotal&gt;</v>
      </c>
    </row>
    <row r="737" ht="12.75">
      <c r="A737" t="str">
        <f>'XML Calculations'!K737</f>
        <v>&lt;FacultyDegreeMastersFullTime Question="I1"&gt;36&lt;/FacultyDegreeMastersFullTime&gt;</v>
      </c>
    </row>
    <row r="738" ht="12.75">
      <c r="A738" t="str">
        <f>'XML Calculations'!K738</f>
        <v>&lt;FacultyDegreeMastersPartTime Question="I1"&gt;39&lt;/FacultyDegreeMastersPartTime&gt;</v>
      </c>
    </row>
    <row r="739" ht="12.75">
      <c r="A739" t="str">
        <f>'XML Calculations'!K739</f>
        <v>&lt;FacultyDegreeMastersTotal Question="I1"&gt;75&lt;/FacultyDegreeMastersTotal&gt;</v>
      </c>
    </row>
    <row r="740" ht="12.75">
      <c r="A740" t="str">
        <f>'XML Calculations'!K740</f>
        <v>&lt;FacultyDegreeBachelorsFullTime Question="I1"&gt;3&lt;/FacultyDegreeBachelorsFullTime&gt;</v>
      </c>
    </row>
    <row r="741" ht="12.75">
      <c r="A741" t="str">
        <f>'XML Calculations'!K741</f>
        <v>&lt;FacultyDegreeBachelorsPartTime Question="I1"&gt;16&lt;/FacultyDegreeBachelorsPartTime&gt;</v>
      </c>
    </row>
    <row r="742" ht="12.75">
      <c r="A742" t="str">
        <f>'XML Calculations'!K742</f>
        <v>&lt;FacultyDegreeBachelorsTotal Question="I1"&gt;19&lt;/FacultyDegreeBachelorsTotal&gt;</v>
      </c>
    </row>
    <row r="743" ht="12.75">
      <c r="A743" t="str">
        <f>'XML Calculations'!K743</f>
        <v>&lt;FacultyDegreeOtherFullTime Question="I1"&gt;26&lt;/FacultyDegreeOtherFullTime&gt;</v>
      </c>
    </row>
    <row r="744" ht="12.75">
      <c r="A744" t="str">
        <f>'XML Calculations'!K744</f>
        <v>&lt;FacultyDegreeOtherPartTime Question="I1"&gt;63&lt;/FacultyDegreeOtherPartTime&gt;</v>
      </c>
    </row>
    <row r="745" ht="12.75">
      <c r="A745" t="str">
        <f>'XML Calculations'!K745</f>
        <v>&lt;FacultyDegreeOtherTotal Question="I1"&gt;89&lt;/FacultyDegreeOtherTotal&gt;</v>
      </c>
    </row>
    <row r="746" ht="12.75">
      <c r="A746" t="str">
        <f>'XML Calculations'!K746</f>
        <v>&lt;FacultyOnlyGraduateCoursesFullTime Question="I1"&gt;128&lt;/FacultyOnlyGraduateCoursesFullTime&gt;</v>
      </c>
    </row>
    <row r="747" ht="12.75">
      <c r="A747" t="str">
        <f>'XML Calculations'!K747</f>
        <v>&lt;FacultyOnlyGraduateCoursesPartTime Question="I1"&gt;56&lt;/FacultyOnlyGraduateCoursesPartTime&gt;</v>
      </c>
    </row>
    <row r="748" ht="12.75">
      <c r="A748" t="str">
        <f>'XML Calculations'!K748</f>
        <v>&lt;FacultyOnlyGraduateCoursesTotal Question="I1"&gt;184&lt;/FacultyOnlyGraduateCoursesTotal&gt;</v>
      </c>
    </row>
    <row r="749" ht="12.75">
      <c r="A749" t="str">
        <f>'XML Calculations'!K749</f>
        <v>&lt;StudentToFacultyRatio Question="I2"&gt;11&lt;/StudentToFacultyRatio&gt;</v>
      </c>
    </row>
    <row r="750" ht="12.75">
      <c r="A750" t="str">
        <f>'XML Calculations'!K750</f>
        <v>&lt;StudentToFacultyRatioTotalStudents Question="I2"&gt;5733&lt;/StudentToFacultyRatioTotalStudents&gt;</v>
      </c>
    </row>
    <row r="751" ht="12.75">
      <c r="A751" t="str">
        <f>'XML Calculations'!K751</f>
        <v>&lt;StudentToFacultyRatioTotalFaculty Question="I2"&gt;532&lt;/StudentToFacultyRatioTotalFaculty&gt;</v>
      </c>
    </row>
    <row r="752" ht="12.75">
      <c r="A752" t="str">
        <f>'XML Calculations'!K752</f>
        <v>&lt;ClassSizeSectionSize2_9 Question="I3"&gt;149&lt;/ClassSizeSectionSize2_9&gt;</v>
      </c>
    </row>
    <row r="753" ht="12.75">
      <c r="A753" t="str">
        <f>'XML Calculations'!K753</f>
        <v>&lt;ClassSizeSubsectionSize2_9 Question="I3"&gt;7&lt;/ClassSizeSubsectionSize2_9&gt;</v>
      </c>
    </row>
    <row r="754" ht="12.75">
      <c r="A754" t="str">
        <f>'XML Calculations'!K754</f>
        <v>&lt;ClassSizeSectionSize10_19 Question="I3"&gt;305&lt;/ClassSizeSectionSize10_19&gt;</v>
      </c>
    </row>
    <row r="755" ht="12.75">
      <c r="A755" t="str">
        <f>'XML Calculations'!K755</f>
        <v>&lt;ClassSizeSubsectionSize10_19 Question="I3"&gt;26&lt;/ClassSizeSubsectionSize10_19&gt;</v>
      </c>
    </row>
    <row r="756" ht="12.75">
      <c r="A756" t="str">
        <f>'XML Calculations'!K756</f>
        <v>&lt;ClassSizeSectionSize20_29 Question="I3"&gt;166&lt;/ClassSizeSectionSize20_29&gt;</v>
      </c>
    </row>
    <row r="757" ht="12.75">
      <c r="A757" t="str">
        <f>'XML Calculations'!K757</f>
        <v>&lt;ClassSizeSubsectionSize20_29 Question="I3"&gt;42&lt;/ClassSizeSubsectionSize20_29&gt;</v>
      </c>
    </row>
    <row r="758" ht="12.75">
      <c r="A758" t="str">
        <f>'XML Calculations'!K758</f>
        <v>&lt;ClassSizeSectionSize30_39 Question="I3"&gt;176&lt;/ClassSizeSectionSize30_39&gt;</v>
      </c>
    </row>
    <row r="759" ht="12.75">
      <c r="A759" t="str">
        <f>'XML Calculations'!K759</f>
        <v>&lt;ClassSizeSubsectionSize30_39 Question="I3"&gt;5&lt;/ClassSizeSubsectionSize30_39&gt;</v>
      </c>
    </row>
    <row r="760" ht="12.75">
      <c r="A760" t="str">
        <f>'XML Calculations'!K760</f>
        <v>&lt;ClassSizeSectionSize40_49 Question="I3"&gt;73&lt;/ClassSizeSectionSize40_49&gt;</v>
      </c>
    </row>
    <row r="761" ht="12.75">
      <c r="A761" t="str">
        <f>'XML Calculations'!K761</f>
        <v>&lt;ClassSizeSubsectionSize40_49 Question="I3"&gt;1&lt;/ClassSizeSubsectionSize40_49&gt;</v>
      </c>
    </row>
    <row r="762" ht="12.75">
      <c r="A762" t="str">
        <f>'XML Calculations'!K762</f>
        <v>&lt;ClassSizeSectionSize50_99 Question="I3"&gt;35&lt;/ClassSizeSectionSize50_99&gt;</v>
      </c>
    </row>
    <row r="763" ht="12.75">
      <c r="A763" t="str">
        <f>'XML Calculations'!K763</f>
        <v>&lt;ClassSizeSubsectionSize50_59 Question="I3"&gt;1&lt;/ClassSizeSubsectionSize50_59&gt;</v>
      </c>
    </row>
    <row r="764" ht="12.75">
      <c r="A764" t="str">
        <f>'XML Calculations'!K764</f>
        <v>&lt;ClassSizeSectionSize100Plus Question="I3"&gt;28&lt;/ClassSizeSectionSize100Plus&gt;</v>
      </c>
    </row>
    <row r="765" ht="12.75">
      <c r="A765" t="str">
        <f>'XML Calculations'!K765</f>
        <v>&lt;ClassSizeSubsectionSize100Plus Question="I3"&gt;0&lt;/ClassSizeSubsectionSize100Plus&gt;</v>
      </c>
    </row>
    <row r="766" ht="12.75">
      <c r="A766" t="str">
        <f>'XML Calculations'!K766</f>
        <v>&lt;ClassSizeSectionSizeTotal Question="I3"&gt;932&lt;/ClassSizeSectionSizeTotal&gt;</v>
      </c>
    </row>
    <row r="767" ht="12.75">
      <c r="A767" t="str">
        <f>'XML Calculations'!K767</f>
        <v>&lt;ClassSizeSubsectionSizeTotal Question="I3"&gt;82&lt;/ClassSizeSubsectionSizeTotal&gt;</v>
      </c>
    </row>
    <row r="768" ht="12.75">
      <c r="A768" t="str">
        <f>'XML Calculations'!K768</f>
        <v>&lt;/InstructionalFacultyAndClassSize&gt;</v>
      </c>
    </row>
    <row r="769" ht="12.75">
      <c r="A769" t="str">
        <f>'XML Calculations'!K769</f>
        <v>&lt;DegreesConferred Section="J"&gt;</v>
      </c>
    </row>
    <row r="770" ht="12.75">
      <c r="A770" t="str">
        <f>'XML Calculations'!K770</f>
        <v>&lt;DiplomaAgriculture Question="J1" CIP2000Category ="1"&gt;-1&lt;/DiplomaAgriculture&gt;</v>
      </c>
    </row>
    <row r="771" ht="12.75">
      <c r="A771" t="str">
        <f>'XML Calculations'!K771</f>
        <v>&lt;AssociatesAgriculture Question="J1" CIP2000Category ="1"&gt;-1&lt;/AssociatesAgriculture&gt;</v>
      </c>
    </row>
    <row r="772" ht="12.75">
      <c r="A772" t="str">
        <f>'XML Calculations'!K772</f>
        <v>&lt;BachelorsAgriculture Question="J1" CIP2000Category ="1"&gt;-1&lt;/BachelorsAgriculture&gt;</v>
      </c>
    </row>
    <row r="773" ht="12.75">
      <c r="A773" t="str">
        <f>'XML Calculations'!K773</f>
        <v>&lt;DiplomaEnvironment Question="J1" CIP2000Category ="3"&gt;-1&lt;/DiplomaEnvironment&gt;</v>
      </c>
    </row>
    <row r="774" ht="12.75">
      <c r="A774" t="str">
        <f>'XML Calculations'!K774</f>
        <v>&lt;AssociatesEnvironment Question="J1" CIP2000Category ="3"&gt;-1&lt;/AssociatesEnvironment&gt;</v>
      </c>
    </row>
    <row r="775" ht="12.75">
      <c r="A775" t="str">
        <f>'XML Calculations'!K775</f>
        <v>&lt;BachelorsEnvironment Question="J1" CIP2000Category ="3"&gt;-1&lt;/BachelorsEnvironment&gt;</v>
      </c>
    </row>
    <row r="776" ht="12.75">
      <c r="A776" t="str">
        <f>'XML Calculations'!K776</f>
        <v>&lt;DiplomaArchitecture Question="J1" CIP2000Category ="4"&gt;-1&lt;/DiplomaArchitecture&gt;</v>
      </c>
    </row>
    <row r="777" ht="12.75">
      <c r="A777" t="str">
        <f>'XML Calculations'!K777</f>
        <v>&lt;AssociatesArchitecture Question="J1" CIP2000Category ="4"&gt;-1&lt;/AssociatesArchitecture&gt;</v>
      </c>
    </row>
    <row r="778" ht="12.75">
      <c r="A778" t="str">
        <f>'XML Calculations'!K778</f>
        <v>&lt;BachelorsArchitecture Question="J1" CIP2000Category ="4"&gt;-1&lt;/BachelorsArchitecture&gt;</v>
      </c>
    </row>
    <row r="779" ht="12.75">
      <c r="A779" t="str">
        <f>'XML Calculations'!K779</f>
        <v>&lt;DiplomaEthnicStudies Question="J1" CIP2000Category ="5"&gt;-1&lt;/DiplomaEthnicStudies&gt;</v>
      </c>
    </row>
    <row r="780" ht="12.75">
      <c r="A780" t="str">
        <f>'XML Calculations'!K780</f>
        <v>&lt;AssociatesEthnicStudies Question="J1" CIP2000Category ="5"&gt;-1&lt;/AssociatesEthnicStudies&gt;</v>
      </c>
    </row>
    <row r="781" ht="12.75">
      <c r="A781" t="str">
        <f>'XML Calculations'!K781</f>
        <v>&lt;BachelorsEthnicStudies Question="J1" CIP2000Category ="5"&gt;3.11&lt;/BachelorsEthnicStudies&gt;</v>
      </c>
    </row>
    <row r="782" ht="12.75">
      <c r="A782" t="str">
        <f>'XML Calculations'!K782</f>
        <v>&lt;DiplomaJournalism Question="J1" CIP2000Category ="9"&gt;-1&lt;/DiplomaJournalism&gt;</v>
      </c>
    </row>
    <row r="783" ht="12.75">
      <c r="A783" t="str">
        <f>'XML Calculations'!K783</f>
        <v>&lt;AssociatesJournalism Question="J1" CIP2000Category ="9"&gt;-1&lt;/AssociatesJournalism&gt;</v>
      </c>
    </row>
    <row r="784" ht="12.75">
      <c r="A784" t="str">
        <f>'XML Calculations'!K784</f>
        <v>&lt;BachelorsJournalism Question="J1" CIP2000Category ="9"&gt;-1&lt;/BachelorsJournalism&gt;</v>
      </c>
    </row>
    <row r="785" ht="12.75">
      <c r="A785" t="str">
        <f>'XML Calculations'!K785</f>
        <v>&lt;DiplomaCommunication Question="J1" CIP2000Category ="10"&gt;-1&lt;/DiplomaCommunication&gt;</v>
      </c>
    </row>
    <row r="786" ht="12.75">
      <c r="A786" t="str">
        <f>'XML Calculations'!K786</f>
        <v>&lt;AssociatesCommunication Question="J1" CIP2000Category ="10"&gt;-1&lt;/AssociatesCommunication&gt;</v>
      </c>
    </row>
    <row r="787" ht="12.75">
      <c r="A787" t="str">
        <f>'XML Calculations'!K787</f>
        <v>&lt;BachelorsCommunication Question="J1" CIP2000Category ="10"&gt;-1&lt;/BachelorsCommunication&gt;</v>
      </c>
    </row>
    <row r="788" ht="12.75">
      <c r="A788" t="str">
        <f>'XML Calculations'!K788</f>
        <v>&lt;DiplomaComputerScience Question="J1" CIP2000Category ="11"&gt;-1&lt;/DiplomaComputerScience&gt;</v>
      </c>
    </row>
    <row r="789" ht="12.75">
      <c r="A789" t="str">
        <f>'XML Calculations'!K789</f>
        <v>&lt;AssociatesComputerScience Question="J1" CIP2000Category ="11"&gt;-1&lt;/AssociatesComputerScience&gt;</v>
      </c>
    </row>
    <row r="790" ht="12.75">
      <c r="A790" t="str">
        <f>'XML Calculations'!K790</f>
        <v>&lt;BachelorsComputerScience Question="J1" CIP2000Category ="11"&gt;0.94&lt;/BachelorsComputerScience&gt;</v>
      </c>
    </row>
    <row r="791" ht="12.75">
      <c r="A791" t="str">
        <f>'XML Calculations'!K791</f>
        <v>&lt;DiplomaCulinary Question="J1" CIP2000Category ="12"&gt;-1&lt;/DiplomaCulinary&gt;</v>
      </c>
    </row>
    <row r="792" ht="12.75">
      <c r="A792" t="str">
        <f>'XML Calculations'!K792</f>
        <v>&lt;AssociatesCulinary Question="J1" CIP2000Category ="12"&gt;-1&lt;/AssociatesCulinary&gt;</v>
      </c>
    </row>
    <row r="793" ht="12.75">
      <c r="A793" t="str">
        <f>'XML Calculations'!K793</f>
        <v>&lt;BachelorsCulinary Question="J1" CIP2000Category ="12"&gt;-1&lt;/BachelorsCulinary&gt;</v>
      </c>
    </row>
    <row r="794" ht="12.75">
      <c r="A794" t="str">
        <f>'XML Calculations'!K794</f>
        <v>&lt;DiplomaEducation Question="J1" CIP2000Category ="13"&gt;-1&lt;/DiplomaEducation&gt;</v>
      </c>
    </row>
    <row r="795" ht="12.75">
      <c r="A795" t="str">
        <f>'XML Calculations'!K795</f>
        <v>&lt;AssociatesEducation Question="J1" CIP2000Category ="13"&gt;-1&lt;/AssociatesEducation&gt;</v>
      </c>
    </row>
    <row r="796" ht="12.75">
      <c r="A796" t="str">
        <f>'XML Calculations'!K796</f>
        <v>&lt;BachelorsEducation Question="J1" CIP2000Category ="13"&gt;1.72&lt;/BachelorsEducation&gt;</v>
      </c>
    </row>
    <row r="797" ht="12.75">
      <c r="A797" t="str">
        <f>'XML Calculations'!K797</f>
        <v>&lt;DiplomaEngineering Question="J1" CIP2000Category ="14"&gt;-1&lt;/DiplomaEngineering&gt;</v>
      </c>
    </row>
    <row r="798" ht="12.75">
      <c r="A798" t="str">
        <f>'XML Calculations'!K798</f>
        <v>&lt;AssociatesEngineering Question="J1" CIP2000Category ="14"&gt;-1&lt;/AssociatesEngineering&gt;</v>
      </c>
    </row>
    <row r="799" ht="12.75">
      <c r="A799" t="str">
        <f>'XML Calculations'!K799</f>
        <v>&lt;BachelorsEngineering Question="J1" CIP2000Category ="14"&gt;-1&lt;/BachelorsEngineering&gt;</v>
      </c>
    </row>
    <row r="800" ht="12.75">
      <c r="A800" t="str">
        <f>'XML Calculations'!K800</f>
        <v>&lt;DiplomaEngineeringTechnology Question="J1" CIP2000Category ="15"&gt;-1&lt;/DiplomaEngineeringTechnology&gt;</v>
      </c>
    </row>
    <row r="801" ht="12.75">
      <c r="A801" t="str">
        <f>'XML Calculations'!K801</f>
        <v>&lt;AssociatesEngineeringTechnology Question="J1" CIP2000Category ="15"&gt;-1&lt;/AssociatesEngineeringTechnology&gt;</v>
      </c>
    </row>
    <row r="802" ht="12.75">
      <c r="A802" t="str">
        <f>'XML Calculations'!K802</f>
        <v>&lt;BachelorsEngineeringTechnology Question="J1" CIP2000Category ="15"&gt;-1&lt;/BachelorsEngineeringTechnology&gt;</v>
      </c>
    </row>
    <row r="803" ht="12.75">
      <c r="A803" t="str">
        <f>'XML Calculations'!K803</f>
        <v>&lt;DiplomaForeignLanguage Question="J1" CIP2000Category ="16"&gt;-1&lt;/DiplomaForeignLanguage&gt;</v>
      </c>
    </row>
    <row r="804" ht="12.75">
      <c r="A804" t="str">
        <f>'XML Calculations'!K804</f>
        <v>&lt;AssociatesForeignLanguage Question="J1" CIP2000Category ="16"&gt;-1&lt;/AssociatesForeignLanguage&gt;</v>
      </c>
    </row>
    <row r="805" ht="12.75">
      <c r="A805" t="str">
        <f>'XML Calculations'!K805</f>
        <v>&lt;BachelorsForeignLanguage Question="J1" CIP2000Category ="16"&gt;4.17&lt;/BachelorsForeignLanguage&gt;</v>
      </c>
    </row>
    <row r="806" ht="12.75">
      <c r="A806" t="str">
        <f>'XML Calculations'!K806</f>
        <v>&lt;DiplomaConsumerSciences Question="J1" CIP2000Category ="19"&gt;-1&lt;/DiplomaConsumerSciences&gt;</v>
      </c>
    </row>
    <row r="807" ht="12.75">
      <c r="A807" t="str">
        <f>'XML Calculations'!K807</f>
        <v>&lt;AssociatesConsumerSciences Question="J1" CIP2000Category ="19"&gt;-1&lt;/AssociatesConsumerSciences&gt;</v>
      </c>
    </row>
    <row r="808" ht="12.75">
      <c r="A808" t="str">
        <f>'XML Calculations'!K808</f>
        <v>&lt;BachelorsConsumerSciences Question="J1" CIP2000Category ="19"&gt;-1&lt;/BachelorsConsumerSciences&gt;</v>
      </c>
    </row>
    <row r="809" ht="12.75">
      <c r="A809" t="str">
        <f>'XML Calculations'!K809</f>
        <v>&lt;DiplomaLaw Question="J1" CIP2000Category ="22"&gt;-1&lt;/DiplomaLaw&gt;</v>
      </c>
    </row>
    <row r="810" ht="12.75">
      <c r="A810" t="str">
        <f>'XML Calculations'!K810</f>
        <v>&lt;AssociatesLaw Question="J1" CIP2000Category ="22"&gt;-1&lt;/AssociatesLaw&gt;</v>
      </c>
    </row>
    <row r="811" ht="12.75">
      <c r="A811" t="str">
        <f>'XML Calculations'!K811</f>
        <v>&lt;BachelorsLaw Question="J1" CIP2000Category ="22"&gt;-1&lt;/BachelorsLaw&gt;</v>
      </c>
    </row>
    <row r="812" ht="12.75">
      <c r="A812" t="str">
        <f>'XML Calculations'!K812</f>
        <v>&lt;DiplomaEnglish Question="J1" CIP2000Category ="23"&gt;-1&lt;/DiplomaEnglish&gt;</v>
      </c>
    </row>
    <row r="813" ht="12.75">
      <c r="A813" t="str">
        <f>'XML Calculations'!K813</f>
        <v>&lt;AssociatesEnglish Question="J1" CIP2000Category ="23"&gt;-1&lt;/AssociatesEnglish&gt;</v>
      </c>
    </row>
    <row r="814" ht="12.75">
      <c r="A814" t="str">
        <f>'XML Calculations'!K814</f>
        <v>&lt;BachelorsEnglish Question="J1" CIP2000Category ="23"&gt;8.56&lt;/BachelorsEnglish&gt;</v>
      </c>
    </row>
    <row r="815" ht="12.75">
      <c r="A815" t="str">
        <f>'XML Calculations'!K815</f>
        <v>&lt;DiplomaLiberalArts Question="J1" CIP2000Category ="24"&gt;-1&lt;/DiplomaLiberalArts&gt;</v>
      </c>
    </row>
    <row r="816" ht="12.75">
      <c r="A816" t="str">
        <f>'XML Calculations'!K816</f>
        <v>&lt;AssociatesLiberalArts Question="J1" CIP2000Category ="24"&gt;-1&lt;/AssociatesLiberalArts&gt;</v>
      </c>
    </row>
    <row r="817" ht="12.75">
      <c r="A817" t="str">
        <f>'XML Calculations'!K817</f>
        <v>&lt;BachelorsLiberalArts Question="J1" CIP2000Category ="24"&gt;-1&lt;/BachelorsLiberalArts&gt;</v>
      </c>
    </row>
    <row r="818" ht="12.75">
      <c r="A818" t="str">
        <f>'XML Calculations'!K818</f>
        <v>&lt;DiplomaLibrary Question="J1" CIP2000Category ="25"&gt;-1&lt;/DiplomaLibrary&gt;</v>
      </c>
    </row>
    <row r="819" ht="12.75">
      <c r="A819" t="str">
        <f>'XML Calculations'!K819</f>
        <v>&lt;AssociatesLibrary Question="J1" CIP2000Category ="25"&gt;-1&lt;/AssociatesLibrary&gt;</v>
      </c>
    </row>
    <row r="820" ht="12.75">
      <c r="A820" t="str">
        <f>'XML Calculations'!K820</f>
        <v>&lt;BachelorsLibrary Question="J1" CIP2000Category ="25"&gt;-1&lt;/BachelorsLibrary&gt;</v>
      </c>
    </row>
    <row r="821" ht="12.75">
      <c r="A821" t="str">
        <f>'XML Calculations'!K821</f>
        <v>&lt;DiplomaBiology Question="J1" CIP2000Category ="26"&gt;-1&lt;/DiplomaBiology&gt;</v>
      </c>
    </row>
    <row r="822" ht="12.75">
      <c r="A822" t="str">
        <f>'XML Calculations'!K822</f>
        <v>&lt;AssociatesBiology Question="J1" CIP2000Category ="26"&gt;-1&lt;/AssociatesBiology&gt;</v>
      </c>
    </row>
    <row r="823" ht="12.75">
      <c r="A823" t="str">
        <f>'XML Calculations'!K823</f>
        <v>&lt;BachelorsBiology Question="J1" CIP2000Category ="26"&gt;6.11&lt;/BachelorsBiology&gt;</v>
      </c>
    </row>
    <row r="824" ht="12.75">
      <c r="A824" t="str">
        <f>'XML Calculations'!K824</f>
        <v>&lt;DiplomaMathematics Question="J1" CIP2000Category ="27"&gt;-1&lt;/DiplomaMathematics&gt;</v>
      </c>
    </row>
    <row r="825" ht="12.75">
      <c r="A825" t="str">
        <f>'XML Calculations'!K825</f>
        <v>&lt;AssociatesMathematics Question="J1" CIP2000Category ="27"&gt;-1&lt;/AssociatesMathematics&gt;</v>
      </c>
    </row>
    <row r="826" ht="12.75">
      <c r="A826" t="str">
        <f>'XML Calculations'!K826</f>
        <v>&lt;BachelorsMathematics Question="J1" CIP2000Category ="27"&gt;1.56&lt;/BachelorsMathematics&gt;</v>
      </c>
    </row>
    <row r="827" ht="12.75">
      <c r="A827" t="str">
        <f>'XML Calculations'!K827</f>
        <v>&lt;DiplomaMilitary Question="J1" CIP2000Category ="29"&gt;-1&lt;/DiplomaMilitary&gt;</v>
      </c>
    </row>
    <row r="828" ht="12.75">
      <c r="A828" t="str">
        <f>'XML Calculations'!K828</f>
        <v>&lt;AssociatesMilitary Question="J1" CIP2000Category ="29"&gt;-1&lt;/AssociatesMilitary&gt;</v>
      </c>
    </row>
    <row r="829" ht="12.75">
      <c r="A829" t="str">
        <f>'XML Calculations'!K829</f>
        <v>&lt;BachelorsMilitary Question="J1" CIP2000Category ="29"&gt;-1&lt;/BachelorsMilitary&gt;</v>
      </c>
    </row>
    <row r="830" ht="12.75">
      <c r="A830" t="str">
        <f>'XML Calculations'!K830</f>
        <v>&lt;DiplomaInterdisciplinary Question="J1" CIP2000Category ="30"&gt;-1&lt;/DiplomaInterdisciplinary&gt;</v>
      </c>
    </row>
    <row r="831" ht="12.75">
      <c r="A831" t="str">
        <f>'XML Calculations'!K831</f>
        <v>&lt;AssociatesInterdisciplinary Question="J1" CIP2000Category ="30"&gt;-1&lt;/AssociatesInterdisciplinary&gt;</v>
      </c>
    </row>
    <row r="832" ht="12.75">
      <c r="A832" t="str">
        <f>'XML Calculations'!K832</f>
        <v>&lt;BachelorsInterdisciplinary Question="J1" CIP2000Category ="30"&gt;8.78&lt;/BachelorsInterdisciplinary&gt;</v>
      </c>
    </row>
    <row r="833" ht="12.75">
      <c r="A833" t="str">
        <f>'XML Calculations'!K833</f>
        <v>&lt;DiplomaParks Question="J1" CIP2000Category ="31"&gt;-1&lt;/DiplomaParks&gt;</v>
      </c>
    </row>
    <row r="834" ht="12.75">
      <c r="A834" t="str">
        <f>'XML Calculations'!K834</f>
        <v>&lt;AssociatesParks Question="J1" CIP2000Category ="31"&gt;-1&lt;/AssociatesParks&gt;</v>
      </c>
    </row>
    <row r="835" ht="12.75">
      <c r="A835" t="str">
        <f>'XML Calculations'!K835</f>
        <v>&lt;BachelorsParks Question="J1" CIP2000Category ="31"&gt;3.06&lt;/BachelorsParks&gt;</v>
      </c>
    </row>
    <row r="836" ht="12.75">
      <c r="A836" t="str">
        <f>'XML Calculations'!K836</f>
        <v>&lt;DiplomaPhilosophy Question="J1" CIP2000Category ="38"&gt;-1&lt;/DiplomaPhilosophy&gt;</v>
      </c>
    </row>
    <row r="837" ht="12.75">
      <c r="A837" t="str">
        <f>'XML Calculations'!K837</f>
        <v>&lt;AssociatesPhilosophy Question="J1" CIP2000Category ="38"&gt;-1&lt;/AssociatesPhilosophy&gt;</v>
      </c>
    </row>
    <row r="838" ht="12.75">
      <c r="A838" t="str">
        <f>'XML Calculations'!K838</f>
        <v>&lt;BachelorsPhilosophy Question="J1" CIP2000Category ="38"&gt;2.28&lt;/BachelorsPhilosophy&gt;</v>
      </c>
    </row>
    <row r="839" ht="12.75">
      <c r="A839" t="str">
        <f>'XML Calculations'!K839</f>
        <v>&lt;DiplomaTheology Question="J1" CIP2000Category ="39"&gt;-1&lt;/DiplomaTheology&gt;</v>
      </c>
    </row>
    <row r="840" ht="12.75">
      <c r="A840" t="str">
        <f>'XML Calculations'!K840</f>
        <v>&lt;AssociatesTheology Question="J1" CIP2000Category ="39"&gt;-1&lt;/AssociatesTheology&gt;</v>
      </c>
    </row>
    <row r="841" ht="12.75">
      <c r="A841" t="str">
        <f>'XML Calculations'!K841</f>
        <v>&lt;BachelorsTheology Question="J1" CIP2000Category ="39"&gt;-1&lt;/BachelorsTheology&gt;</v>
      </c>
    </row>
    <row r="842" ht="12.75">
      <c r="A842" t="str">
        <f>'XML Calculations'!K842</f>
        <v>&lt;DiplomaPhysicalSciences Question="J1" CIP2000Category ="40"&gt;-1&lt;/DiplomaPhysicalSciences&gt;</v>
      </c>
    </row>
    <row r="843" ht="12.75">
      <c r="A843" t="str">
        <f>'XML Calculations'!K843</f>
        <v>&lt;AssociatesPhysicalSciences Question="J1" CIP2000Category ="40"&gt;-1&lt;/AssociatesPhysicalSciences&gt;</v>
      </c>
    </row>
    <row r="844" ht="12.75">
      <c r="A844" t="str">
        <f>'XML Calculations'!K844</f>
        <v>&lt;BachelorsPhysicalSciences Question="J1" CIP2000Category ="40"&gt;4.89&lt;/BachelorsPhysicalSciences&gt;</v>
      </c>
    </row>
    <row r="845" ht="12.75">
      <c r="A845" t="str">
        <f>'XML Calculations'!K845</f>
        <v>&lt;DiplomaScienceTech Question="J1" CIP2000Category ="41"&gt;-1&lt;/DiplomaScienceTech&gt;</v>
      </c>
    </row>
    <row r="846" ht="12.75">
      <c r="A846" t="str">
        <f>'XML Calculations'!K846</f>
        <v>&lt;AssociatesScienceTech Question="J1" CIP2000Category ="41"&gt;-1&lt;/AssociatesScienceTech&gt;</v>
      </c>
    </row>
    <row r="847" ht="12.75">
      <c r="A847" t="str">
        <f>'XML Calculations'!K847</f>
        <v>&lt;BachelorsScienceTech Question="J1" CIP2000Category ="41"&gt;-1&lt;/BachelorsScienceTech&gt;</v>
      </c>
    </row>
    <row r="848" ht="12.75">
      <c r="A848" t="str">
        <f>'XML Calculations'!K848</f>
        <v>&lt;DiplomaPsychology Question="J1" CIP2000Category ="42"&gt;-1&lt;/DiplomaPsychology&gt;</v>
      </c>
    </row>
    <row r="849" ht="12.75">
      <c r="A849" t="str">
        <f>'XML Calculations'!K849</f>
        <v>&lt;AssociatesPsychology Question="J1" CIP2000Category ="42"&gt;-1&lt;/AssociatesPsychology&gt;</v>
      </c>
    </row>
    <row r="850" ht="12.75">
      <c r="A850" t="str">
        <f>'XML Calculations'!K850</f>
        <v>&lt;BachelorsPsychology Question="J1" CIP2000Category ="42"&gt;7.67&lt;/BachelorsPsychology&gt;</v>
      </c>
    </row>
    <row r="851" ht="12.75">
      <c r="A851" t="str">
        <f>'XML Calculations'!K851</f>
        <v>&lt;DiplomaSecurity Question="J1" CIP2000Category ="43"&gt;-1&lt;/DiplomaSecurity&gt;</v>
      </c>
    </row>
    <row r="852" ht="12.75">
      <c r="A852" t="str">
        <f>'XML Calculations'!K852</f>
        <v>&lt;AssociatesSecurity Question="J1" CIP2000Category ="43"&gt;-1&lt;/AssociatesSecurity&gt;</v>
      </c>
    </row>
    <row r="853" ht="12.75">
      <c r="A853" t="str">
        <f>'XML Calculations'!K853</f>
        <v>&lt;BachelorsSecurity Question="J1" CIP2000Category ="43"&gt;-1&lt;/BachelorsSecurity&gt;</v>
      </c>
    </row>
    <row r="854" ht="12.75">
      <c r="A854" t="str">
        <f>'XML Calculations'!K854</f>
        <v>&lt;DiplomaPublicAdministration Question="J1" CIP2000Category ="44"&gt;-1&lt;/DiplomaPublicAdministration&gt;</v>
      </c>
    </row>
    <row r="855" ht="12.75">
      <c r="A855" t="str">
        <f>'XML Calculations'!K855</f>
        <v>&lt;AssociatesPublicAdministration Question="J1" CIP2000Category ="44"&gt;-1&lt;/AssociatesPublicAdministration&gt;</v>
      </c>
    </row>
    <row r="856" ht="12.75">
      <c r="A856" t="str">
        <f>'XML Calculations'!K856</f>
        <v>&lt;BachelorsPublicAdministration Question="J1" CIP2000Category ="44"&gt;0.72&lt;/BachelorsPublicAdministration&gt;</v>
      </c>
    </row>
    <row r="857" ht="12.75">
      <c r="A857" t="str">
        <f>'XML Calculations'!K857</f>
        <v>&lt;DiplomaSocialSciences Question="J1" CIP2000Category ="45"&gt;-1&lt;/DiplomaSocialSciences&gt;</v>
      </c>
    </row>
    <row r="858" ht="12.75">
      <c r="A858" t="str">
        <f>'XML Calculations'!K858</f>
        <v>&lt;AssociatesSocialSciences Question="J1" CIP2000Category ="45"&gt;-1&lt;/AssociatesSocialSciences&gt;</v>
      </c>
    </row>
    <row r="859" ht="12.75">
      <c r="A859" t="str">
        <f>'XML Calculations'!K859</f>
        <v>&lt;BachelorsSocialSciences Question="J1" CIP2000Category ="45"&gt;23.5&lt;/BachelorsSocialSciences&gt;</v>
      </c>
    </row>
    <row r="860" ht="12.75">
      <c r="A860" t="str">
        <f>'XML Calculations'!K860</f>
        <v>&lt;DiplomaConstruction Question="J1" CIP2000Category ="46"&gt;-1&lt;/DiplomaConstruction&gt;</v>
      </c>
    </row>
    <row r="861" ht="12.75">
      <c r="A861" t="str">
        <f>'XML Calculations'!K861</f>
        <v>&lt;AssociatesConstruction Question="J1" CIP2000Category ="46"&gt;-1&lt;/AssociatesConstruction&gt;</v>
      </c>
    </row>
    <row r="862" ht="12.75">
      <c r="A862" t="str">
        <f>'XML Calculations'!K862</f>
        <v>&lt;BachelorsConstruction Question="J1" CIP2000Category ="46"&gt;-1&lt;/BachelorsConstruction&gt;</v>
      </c>
    </row>
    <row r="863" ht="12.75">
      <c r="A863" t="str">
        <f>'XML Calculations'!K863</f>
        <v>&lt;DiplomaMechanicTechnology Question="J1" CIP2000Category ="47"&gt;-1&lt;/DiplomaMechanicTechnology&gt;</v>
      </c>
    </row>
    <row r="864" ht="12.75">
      <c r="A864" t="str">
        <f>'XML Calculations'!K864</f>
        <v>&lt;AssociatesMechanicTechnology Question="J1" CIP2000Category ="47"&gt;-1&lt;/AssociatesMechanicTechnology&gt;</v>
      </c>
    </row>
    <row r="865" ht="12.75">
      <c r="A865" t="str">
        <f>'XML Calculations'!K865</f>
        <v>&lt;BachelorsMechanicTechnology Question="J1" CIP2000Category ="47"&gt;-1&lt;/BachelorsMechanicTechnology&gt;</v>
      </c>
    </row>
    <row r="866" ht="12.75">
      <c r="A866" t="str">
        <f>'XML Calculations'!K866</f>
        <v>&lt;DiplomaPrecisionProduction Question="J1" CIP2000Category ="48"&gt;-1&lt;/DiplomaPrecisionProduction&gt;</v>
      </c>
    </row>
    <row r="867" ht="12.75">
      <c r="A867" t="str">
        <f>'XML Calculations'!K867</f>
        <v>&lt;AssociatesPrecisionProduction Question="J1" CIP2000Category ="48"&gt;-1&lt;/AssociatesPrecisionProduction&gt;</v>
      </c>
    </row>
    <row r="868" ht="12.75">
      <c r="A868" t="str">
        <f>'XML Calculations'!K868</f>
        <v>&lt;BachelorsPrecisionProduction Question="J1" CIP2000Category ="48"&gt;-1&lt;/BachelorsPrecisionProduction&gt;</v>
      </c>
    </row>
    <row r="869" ht="12.75">
      <c r="A869" t="str">
        <f>'XML Calculations'!K869</f>
        <v>&lt;DiplomaTransportation Question="J1" CIP2000Category ="49"&gt;-1&lt;/DiplomaTransportation&gt;</v>
      </c>
    </row>
    <row r="870" ht="12.75">
      <c r="A870" t="str">
        <f>'XML Calculations'!K870</f>
        <v>&lt;AssociatesTransportation Question="J1" CIP2000Category ="49"&gt;-1&lt;/AssociatesTransportation&gt;</v>
      </c>
    </row>
    <row r="871" ht="12.75">
      <c r="A871" t="str">
        <f>'XML Calculations'!K871</f>
        <v>&lt;BachelorsTransportation Question="J1" CIP2000Category ="49"&gt;-1&lt;/BachelorsTransportation&gt;</v>
      </c>
    </row>
    <row r="872" ht="12.75">
      <c r="A872" t="str">
        <f>'XML Calculations'!K872</f>
        <v>&lt;DiplomaArts Question="J1" CIP2000Category ="50"&gt;-1&lt;/DiplomaArts&gt;</v>
      </c>
    </row>
    <row r="873" ht="12.75">
      <c r="A873" t="str">
        <f>'XML Calculations'!K873</f>
        <v>&lt;AssociatesArts Question="J1" CIP2000Category ="50"&gt;-1&lt;/AssociatesArts&gt;</v>
      </c>
    </row>
    <row r="874" ht="12.75">
      <c r="A874" t="str">
        <f>'XML Calculations'!K874</f>
        <v>&lt;BachelorsArts Question="J1" CIP2000Category ="50"&gt;3.61&lt;/BachelorsArts&gt;</v>
      </c>
    </row>
    <row r="875" ht="12.75">
      <c r="A875" t="str">
        <f>'XML Calculations'!K875</f>
        <v>&lt;DiplomaHealth Question="J1" CIP2000Category ="51"&gt;-1&lt;/DiplomaHealth&gt;</v>
      </c>
    </row>
    <row r="876" ht="12.75">
      <c r="A876" t="str">
        <f>'XML Calculations'!K876</f>
        <v>&lt;AssociatesHealth Question="J1" CIP2000Category ="51"&gt;-1&lt;/AssociatesHealth&gt;</v>
      </c>
    </row>
    <row r="877" ht="12.75">
      <c r="A877" t="str">
        <f>'XML Calculations'!K877</f>
        <v>&lt;BachelorsHealth Question="J1" CIP2000Category ="51"&gt;-1&lt;/BachelorsHealth&gt;</v>
      </c>
    </row>
    <row r="878" ht="12.75">
      <c r="A878" t="str">
        <f>'XML Calculations'!K878</f>
        <v>&lt;DiplomaBusiness Question="J1" CIP2000Category ="52"&gt;-1&lt;/DiplomaBusiness&gt;</v>
      </c>
    </row>
    <row r="879" ht="12.75">
      <c r="A879" t="str">
        <f>'XML Calculations'!K879</f>
        <v>&lt;AssociatesBusiness Question="J1" CIP2000Category ="52"&gt;-1&lt;/AssociatesBusiness&gt;</v>
      </c>
    </row>
    <row r="880" ht="12.75">
      <c r="A880" t="str">
        <f>'XML Calculations'!K880</f>
        <v>&lt;BachelorsBusiness Question="J1" CIP2000Category ="52"&gt;11&lt;/BachelorsBusiness&gt;</v>
      </c>
    </row>
    <row r="881" ht="12.75">
      <c r="A881" t="str">
        <f>'XML Calculations'!K881</f>
        <v>&lt;DiplomaHistory Question="J1" CIP2000Category ="54"&gt;-1&lt;/DiplomaHistory&gt;</v>
      </c>
    </row>
    <row r="882" ht="12.75">
      <c r="A882" t="str">
        <f>'XML Calculations'!K882</f>
        <v>&lt;AssociatesHistory Question="J1" CIP2000Category ="54"&gt;-1&lt;/AssociatesHistory&gt;</v>
      </c>
    </row>
    <row r="883" ht="12.75">
      <c r="A883" t="str">
        <f>'XML Calculations'!K883</f>
        <v>&lt;BachelorsHistory Question="J1" CIP2000Category ="54"&gt;8.32&lt;/BachelorsHistory&gt;</v>
      </c>
    </row>
    <row r="884" ht="12.75">
      <c r="A884" t="str">
        <f>'XML Calculations'!K884</f>
        <v>&lt;DiplomaOther Question="J1"&gt;-1&lt;/DiplomaOther&gt;</v>
      </c>
    </row>
    <row r="885" ht="12.75">
      <c r="A885" t="str">
        <f>'XML Calculations'!K885</f>
        <v>&lt;AssociatesOther Question="J1"&gt;-1&lt;/AssociatesOther&gt;</v>
      </c>
    </row>
    <row r="886" ht="12.75">
      <c r="A886" t="str">
        <f>'XML Calculations'!K886</f>
        <v>&lt;BachelorsOther Question="J1"&gt;-1&lt;/BachelorsOther&gt;</v>
      </c>
    </row>
    <row r="887" ht="12.75">
      <c r="A887" t="str">
        <f>'XML Calculations'!K887</f>
        <v>&lt;/DegreesConferred&gt;</v>
      </c>
    </row>
    <row r="888" ht="12.75">
      <c r="A888" t="s">
        <v>993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
      <selection activeCell="A1" sqref="A1:B25"/>
    </sheetView>
  </sheetViews>
  <sheetFormatPr defaultColWidth="9.140625" defaultRowHeight="12.75"/>
  <cols>
    <col min="1" max="1" width="11.140625" style="185" bestFit="1" customWidth="1"/>
    <col min="2" max="2" width="79.57421875" style="183" customWidth="1"/>
    <col min="3" max="16384" width="9.140625" style="186" customWidth="1"/>
  </cols>
  <sheetData>
    <row r="1" spans="1:2" ht="23.25">
      <c r="A1" s="371" t="s">
        <v>1972</v>
      </c>
      <c r="B1" s="371"/>
    </row>
    <row r="2" spans="1:2" ht="12.75">
      <c r="A2" s="370" t="s">
        <v>230</v>
      </c>
      <c r="B2" s="370"/>
    </row>
    <row r="3" spans="1:2" ht="12.75">
      <c r="A3" s="184"/>
      <c r="B3" s="184"/>
    </row>
    <row r="4" spans="1:2" ht="12.75">
      <c r="A4" s="372" t="s">
        <v>1561</v>
      </c>
      <c r="B4" s="372"/>
    </row>
    <row r="5" ht="12.75">
      <c r="A5" s="184"/>
    </row>
    <row r="6" spans="1:2" ht="12.75" customHeight="1">
      <c r="A6" s="370" t="s">
        <v>1914</v>
      </c>
      <c r="B6" s="370"/>
    </row>
    <row r="8" spans="1:2" ht="12.75">
      <c r="A8" s="228" t="s">
        <v>572</v>
      </c>
      <c r="B8" s="350" t="s">
        <v>235</v>
      </c>
    </row>
    <row r="9" spans="1:2" ht="12.75">
      <c r="A9" s="228"/>
      <c r="B9" s="351" t="s">
        <v>231</v>
      </c>
    </row>
    <row r="10" spans="1:2" ht="12.75">
      <c r="A10" s="228"/>
      <c r="B10" s="352" t="s">
        <v>236</v>
      </c>
    </row>
    <row r="11" spans="1:2" ht="12.75">
      <c r="A11" s="226"/>
      <c r="B11" s="352" t="s">
        <v>237</v>
      </c>
    </row>
    <row r="12" spans="1:2" ht="12.75">
      <c r="A12" s="226"/>
      <c r="B12" s="227"/>
    </row>
    <row r="13" spans="1:2" ht="12.75">
      <c r="A13" s="228" t="s">
        <v>1555</v>
      </c>
      <c r="B13" s="350" t="s">
        <v>232</v>
      </c>
    </row>
    <row r="14" spans="1:2" ht="12.75">
      <c r="A14" s="228"/>
      <c r="B14" s="351" t="s">
        <v>233</v>
      </c>
    </row>
    <row r="15" spans="1:2" ht="12.75">
      <c r="A15" s="228"/>
      <c r="B15" s="352" t="s">
        <v>238</v>
      </c>
    </row>
    <row r="16" spans="1:2" ht="12.75">
      <c r="A16" s="228"/>
      <c r="B16" s="352" t="s">
        <v>239</v>
      </c>
    </row>
    <row r="17" spans="1:2" ht="12.75">
      <c r="A17" s="228"/>
      <c r="B17" s="352" t="s">
        <v>240</v>
      </c>
    </row>
    <row r="18" spans="1:2" ht="14.25">
      <c r="A18" s="202"/>
      <c r="B18" s="227"/>
    </row>
    <row r="19" spans="1:2" ht="12.75">
      <c r="A19" s="228" t="s">
        <v>1696</v>
      </c>
      <c r="B19" s="229" t="s">
        <v>314</v>
      </c>
    </row>
    <row r="20" spans="1:2" ht="25.5">
      <c r="A20" s="228"/>
      <c r="B20" s="230" t="s">
        <v>234</v>
      </c>
    </row>
    <row r="21" spans="1:2" ht="12.75">
      <c r="A21" s="228"/>
      <c r="B21" s="56"/>
    </row>
    <row r="22" spans="1:2" ht="12.75">
      <c r="A22" s="370" t="s">
        <v>1558</v>
      </c>
      <c r="B22" s="370"/>
    </row>
    <row r="24" spans="1:2" ht="12.75">
      <c r="A24" s="185" t="s">
        <v>587</v>
      </c>
      <c r="B24" s="227" t="s">
        <v>1397</v>
      </c>
    </row>
    <row r="25" spans="1:2" ht="25.5">
      <c r="A25" s="185" t="s">
        <v>1559</v>
      </c>
      <c r="B25" s="183" t="s">
        <v>1560</v>
      </c>
    </row>
    <row r="28" ht="13.5" customHeight="1"/>
  </sheetData>
  <sheetProtection/>
  <mergeCells count="5">
    <mergeCell ref="A22:B22"/>
    <mergeCell ref="A1:B1"/>
    <mergeCell ref="A4:B4"/>
    <mergeCell ref="A2:B2"/>
    <mergeCell ref="A6:B6"/>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68">
      <selection activeCell="F14" sqref="F14"/>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6" ht="23.25">
      <c r="A1" s="397" t="s">
        <v>1972</v>
      </c>
      <c r="B1" s="397"/>
      <c r="C1" s="397"/>
      <c r="D1" s="397"/>
      <c r="E1" s="397"/>
      <c r="F1" s="397"/>
    </row>
    <row r="2" spans="1:4" ht="18">
      <c r="A2" s="398" t="s">
        <v>1479</v>
      </c>
      <c r="B2" s="398"/>
      <c r="C2" s="398"/>
      <c r="D2" s="386"/>
    </row>
    <row r="3" spans="3:4" ht="12.75">
      <c r="C3" s="368"/>
      <c r="D3" s="368"/>
    </row>
    <row r="4" spans="1:4" ht="12.75">
      <c r="A4" s="2" t="s">
        <v>936</v>
      </c>
      <c r="B4" s="166" t="s">
        <v>937</v>
      </c>
      <c r="C4" s="52"/>
      <c r="D4" s="52"/>
    </row>
    <row r="5" spans="1:4" ht="12.75">
      <c r="A5" s="2" t="s">
        <v>936</v>
      </c>
      <c r="B5" s="167" t="s">
        <v>938</v>
      </c>
      <c r="C5" s="161"/>
      <c r="D5" s="322" t="s">
        <v>1799</v>
      </c>
    </row>
    <row r="6" spans="1:4" ht="12.75">
      <c r="A6" s="2" t="s">
        <v>936</v>
      </c>
      <c r="B6" s="167" t="s">
        <v>939</v>
      </c>
      <c r="C6" s="161"/>
      <c r="D6" s="322" t="s">
        <v>1800</v>
      </c>
    </row>
    <row r="7" spans="1:4" ht="12.75">
      <c r="A7" s="2" t="s">
        <v>936</v>
      </c>
      <c r="B7" s="167" t="s">
        <v>940</v>
      </c>
      <c r="C7" s="161"/>
      <c r="D7" s="324" t="s">
        <v>857</v>
      </c>
    </row>
    <row r="8" spans="1:4" ht="12.75">
      <c r="A8" s="2" t="s">
        <v>936</v>
      </c>
      <c r="B8" s="374" t="s">
        <v>1481</v>
      </c>
      <c r="C8" s="376"/>
      <c r="D8" s="325" t="s">
        <v>1801</v>
      </c>
    </row>
    <row r="9" spans="1:4" ht="12.75">
      <c r="A9" s="2"/>
      <c r="B9" s="375"/>
      <c r="C9" s="377"/>
      <c r="D9" s="326"/>
    </row>
    <row r="10" spans="1:4" ht="12.75">
      <c r="A10" s="2" t="s">
        <v>936</v>
      </c>
      <c r="B10" s="167" t="s">
        <v>364</v>
      </c>
      <c r="C10" s="161"/>
      <c r="D10" s="323" t="s">
        <v>1802</v>
      </c>
    </row>
    <row r="11" spans="1:4" ht="12.75">
      <c r="A11" s="2"/>
      <c r="B11" s="167" t="s">
        <v>363</v>
      </c>
      <c r="C11" s="161"/>
      <c r="D11" s="322" t="s">
        <v>1803</v>
      </c>
    </row>
    <row r="12" spans="1:4" ht="12.75">
      <c r="A12" s="2"/>
      <c r="B12" s="167" t="s">
        <v>365</v>
      </c>
      <c r="C12" s="161"/>
      <c r="D12" s="327" t="s">
        <v>1804</v>
      </c>
    </row>
    <row r="13" spans="1:4" ht="12.75">
      <c r="A13" s="2"/>
      <c r="B13" s="167" t="s">
        <v>366</v>
      </c>
      <c r="C13" s="161"/>
      <c r="D13" s="322" t="s">
        <v>1805</v>
      </c>
    </row>
    <row r="14" spans="1:4" ht="12.75">
      <c r="A14" s="2" t="s">
        <v>936</v>
      </c>
      <c r="B14" s="167" t="s">
        <v>941</v>
      </c>
      <c r="C14" s="161"/>
      <c r="D14" s="322" t="s">
        <v>1806</v>
      </c>
    </row>
    <row r="15" spans="1:4" ht="12.75">
      <c r="A15" s="2" t="s">
        <v>936</v>
      </c>
      <c r="B15" s="167" t="s">
        <v>942</v>
      </c>
      <c r="C15" s="161"/>
      <c r="D15" s="322" t="s">
        <v>1807</v>
      </c>
    </row>
    <row r="16" spans="1:4" ht="12.75">
      <c r="A16" s="2" t="s">
        <v>936</v>
      </c>
      <c r="B16" s="167" t="s">
        <v>943</v>
      </c>
      <c r="C16" s="161"/>
      <c r="D16" s="364" t="s">
        <v>1612</v>
      </c>
    </row>
    <row r="17" spans="1:6" ht="12.75">
      <c r="A17" s="2" t="s">
        <v>936</v>
      </c>
      <c r="B17" s="49" t="s">
        <v>944</v>
      </c>
      <c r="C17" s="52"/>
      <c r="D17" s="165"/>
      <c r="E17" s="164" t="s">
        <v>175</v>
      </c>
      <c r="F17" s="29" t="s">
        <v>176</v>
      </c>
    </row>
    <row r="18" spans="1:6" ht="12.75">
      <c r="A18" s="2"/>
      <c r="B18" s="49"/>
      <c r="C18" s="52"/>
      <c r="D18" s="165"/>
      <c r="E18" s="334" t="s">
        <v>1808</v>
      </c>
      <c r="F18" s="266"/>
    </row>
    <row r="19" spans="1:4" ht="12.75">
      <c r="A19" s="2" t="s">
        <v>936</v>
      </c>
      <c r="B19" s="168" t="s">
        <v>945</v>
      </c>
      <c r="C19" s="169"/>
      <c r="D19" s="170"/>
    </row>
    <row r="20" spans="1:4" ht="12.75">
      <c r="A20" s="2"/>
      <c r="B20" s="378" t="s">
        <v>1809</v>
      </c>
      <c r="C20" s="379"/>
      <c r="D20" s="380"/>
    </row>
    <row r="21" spans="1:4" ht="12.75">
      <c r="A21" s="2"/>
      <c r="B21" s="194"/>
      <c r="C21" s="195"/>
      <c r="D21" s="195"/>
    </row>
    <row r="22" spans="1:4" ht="53.25" customHeight="1">
      <c r="A22" s="203" t="s">
        <v>1557</v>
      </c>
      <c r="B22" s="402" t="s">
        <v>413</v>
      </c>
      <c r="C22" s="402"/>
      <c r="D22" s="402"/>
    </row>
    <row r="23" spans="1:4" ht="53.25" customHeight="1">
      <c r="A23" s="2"/>
      <c r="B23" s="403"/>
      <c r="C23" s="404"/>
      <c r="D23" s="405"/>
    </row>
    <row r="24" spans="3:4" ht="12.75">
      <c r="C24" s="7"/>
      <c r="D24" s="7"/>
    </row>
    <row r="25" spans="1:4" ht="12.75">
      <c r="A25" s="2" t="s">
        <v>1595</v>
      </c>
      <c r="B25" s="10" t="s">
        <v>1480</v>
      </c>
      <c r="C25" s="399"/>
      <c r="D25" s="399"/>
    </row>
    <row r="26" spans="1:4" ht="12.75">
      <c r="A26" s="2" t="s">
        <v>1595</v>
      </c>
      <c r="B26" s="9" t="s">
        <v>1569</v>
      </c>
      <c r="C26" s="400" t="s">
        <v>157</v>
      </c>
      <c r="D26" s="401"/>
    </row>
    <row r="27" spans="1:4" ht="12.75">
      <c r="A27" s="2" t="s">
        <v>1595</v>
      </c>
      <c r="B27" s="381" t="s">
        <v>1481</v>
      </c>
      <c r="C27" s="395" t="s">
        <v>158</v>
      </c>
      <c r="D27" s="395"/>
    </row>
    <row r="28" spans="1:4" ht="12.75">
      <c r="A28" s="2" t="s">
        <v>1595</v>
      </c>
      <c r="B28" s="382"/>
      <c r="C28" s="383"/>
      <c r="D28" s="383"/>
    </row>
    <row r="29" spans="1:4" ht="12.75">
      <c r="A29" s="2" t="s">
        <v>1595</v>
      </c>
      <c r="B29" s="159" t="s">
        <v>367</v>
      </c>
      <c r="C29" s="373" t="s">
        <v>1802</v>
      </c>
      <c r="D29" s="373"/>
    </row>
    <row r="30" spans="1:4" ht="12.75">
      <c r="A30" s="2" t="s">
        <v>1595</v>
      </c>
      <c r="B30" s="159" t="s">
        <v>368</v>
      </c>
      <c r="C30" s="373" t="s">
        <v>1803</v>
      </c>
      <c r="D30" s="373"/>
    </row>
    <row r="31" spans="1:4" ht="12.75">
      <c r="A31" s="2" t="s">
        <v>1595</v>
      </c>
      <c r="B31" s="159" t="s">
        <v>369</v>
      </c>
      <c r="C31" s="388" t="s">
        <v>1804</v>
      </c>
      <c r="D31" s="388"/>
    </row>
    <row r="32" spans="1:4" ht="12.75">
      <c r="A32" s="2" t="s">
        <v>1595</v>
      </c>
      <c r="B32" s="159" t="s">
        <v>370</v>
      </c>
      <c r="C32" s="395" t="s">
        <v>1805</v>
      </c>
      <c r="D32" s="395"/>
    </row>
    <row r="33" spans="1:4" ht="12.75">
      <c r="A33" s="2" t="s">
        <v>1595</v>
      </c>
      <c r="B33" s="396" t="s">
        <v>1583</v>
      </c>
      <c r="C33" s="391"/>
      <c r="D33" s="392"/>
    </row>
    <row r="34" spans="1:4" ht="12.75">
      <c r="A34" s="2" t="s">
        <v>1595</v>
      </c>
      <c r="B34" s="375"/>
      <c r="C34" s="393"/>
      <c r="D34" s="394"/>
    </row>
    <row r="35" spans="1:4" ht="12.75">
      <c r="A35" s="2" t="s">
        <v>1595</v>
      </c>
      <c r="B35" s="159" t="s">
        <v>367</v>
      </c>
      <c r="C35" s="383"/>
      <c r="D35" s="383"/>
    </row>
    <row r="36" spans="1:4" ht="12.75">
      <c r="A36" s="2" t="s">
        <v>1595</v>
      </c>
      <c r="B36" s="159" t="s">
        <v>368</v>
      </c>
      <c r="C36" s="373"/>
      <c r="D36" s="373"/>
    </row>
    <row r="37" spans="1:4" ht="12.75">
      <c r="A37" s="2" t="s">
        <v>1595</v>
      </c>
      <c r="B37" s="159" t="s">
        <v>369</v>
      </c>
      <c r="C37" s="388"/>
      <c r="D37" s="388"/>
    </row>
    <row r="38" spans="1:4" ht="12.75">
      <c r="A38" s="2" t="s">
        <v>1595</v>
      </c>
      <c r="B38" s="159" t="s">
        <v>370</v>
      </c>
      <c r="C38" s="373"/>
      <c r="D38" s="373"/>
    </row>
    <row r="39" spans="1:4" ht="12.75">
      <c r="A39" s="2" t="s">
        <v>1595</v>
      </c>
      <c r="B39" s="9" t="s">
        <v>1584</v>
      </c>
      <c r="C39" s="373" t="s">
        <v>159</v>
      </c>
      <c r="D39" s="373"/>
    </row>
    <row r="40" spans="1:4" ht="12.75">
      <c r="A40" s="2" t="s">
        <v>1595</v>
      </c>
      <c r="B40" s="9" t="s">
        <v>1482</v>
      </c>
      <c r="C40" s="387" t="s">
        <v>160</v>
      </c>
      <c r="D40" s="373"/>
    </row>
    <row r="41" spans="1:4" ht="12.75">
      <c r="A41" s="2" t="s">
        <v>1595</v>
      </c>
      <c r="B41" s="9" t="s">
        <v>1483</v>
      </c>
      <c r="C41" s="373" t="s">
        <v>161</v>
      </c>
      <c r="D41" s="373"/>
    </row>
    <row r="42" spans="1:4" ht="12.75">
      <c r="A42" s="2" t="s">
        <v>1595</v>
      </c>
      <c r="B42" s="9" t="s">
        <v>1484</v>
      </c>
      <c r="C42" s="373" t="s">
        <v>162</v>
      </c>
      <c r="D42" s="373"/>
    </row>
    <row r="43" spans="1:4" ht="12.75">
      <c r="A43" s="2" t="s">
        <v>1595</v>
      </c>
      <c r="B43" s="381" t="s">
        <v>1585</v>
      </c>
      <c r="C43" s="391" t="s">
        <v>163</v>
      </c>
      <c r="D43" s="392"/>
    </row>
    <row r="44" spans="1:4" ht="12.75">
      <c r="A44" s="2" t="s">
        <v>1595</v>
      </c>
      <c r="B44" s="382"/>
      <c r="C44" s="393"/>
      <c r="D44" s="394"/>
    </row>
    <row r="45" spans="1:4" ht="12.75">
      <c r="A45" s="2" t="s">
        <v>1595</v>
      </c>
      <c r="B45" s="159" t="s">
        <v>367</v>
      </c>
      <c r="C45" s="373" t="s">
        <v>1802</v>
      </c>
      <c r="D45" s="373"/>
    </row>
    <row r="46" spans="1:4" ht="12.75">
      <c r="A46" s="2" t="s">
        <v>1595</v>
      </c>
      <c r="B46" s="159" t="s">
        <v>368</v>
      </c>
      <c r="C46" s="373" t="s">
        <v>1803</v>
      </c>
      <c r="D46" s="373"/>
    </row>
    <row r="47" spans="1:4" ht="12.75">
      <c r="A47" s="2" t="s">
        <v>1595</v>
      </c>
      <c r="B47" s="159" t="s">
        <v>369</v>
      </c>
      <c r="C47" s="388" t="s">
        <v>1804</v>
      </c>
      <c r="D47" s="388"/>
    </row>
    <row r="48" spans="1:4" ht="12.75">
      <c r="A48" s="2" t="s">
        <v>1595</v>
      </c>
      <c r="B48" s="159" t="s">
        <v>370</v>
      </c>
      <c r="C48" s="373" t="s">
        <v>1805</v>
      </c>
      <c r="D48" s="373"/>
    </row>
    <row r="49" spans="1:4" ht="12.75">
      <c r="A49" s="2" t="s">
        <v>1595</v>
      </c>
      <c r="B49" s="9" t="s">
        <v>1852</v>
      </c>
      <c r="C49" s="373" t="s">
        <v>164</v>
      </c>
      <c r="D49" s="373"/>
    </row>
    <row r="50" spans="1:4" ht="12.75">
      <c r="A50" s="2" t="s">
        <v>1595</v>
      </c>
      <c r="B50" s="9" t="s">
        <v>1735</v>
      </c>
      <c r="C50" s="387" t="s">
        <v>166</v>
      </c>
      <c r="D50" s="373"/>
    </row>
    <row r="51" spans="1:4" ht="38.25">
      <c r="A51" s="203" t="s">
        <v>1595</v>
      </c>
      <c r="B51" s="232" t="s">
        <v>96</v>
      </c>
      <c r="C51" s="387" t="s">
        <v>165</v>
      </c>
      <c r="D51" s="373"/>
    </row>
    <row r="52" spans="1:4" ht="51">
      <c r="A52" s="203" t="s">
        <v>1595</v>
      </c>
      <c r="B52" s="231" t="s">
        <v>97</v>
      </c>
      <c r="C52" s="389"/>
      <c r="D52" s="390"/>
    </row>
    <row r="54" spans="1:4" ht="12.75">
      <c r="A54" s="2" t="s">
        <v>1596</v>
      </c>
      <c r="B54" s="384" t="s">
        <v>1485</v>
      </c>
      <c r="C54" s="385"/>
      <c r="D54" s="386"/>
    </row>
    <row r="55" spans="1:3" ht="12.75">
      <c r="A55" s="2" t="s">
        <v>1596</v>
      </c>
      <c r="B55" s="11" t="s">
        <v>1486</v>
      </c>
      <c r="C55" s="257" t="s">
        <v>1808</v>
      </c>
    </row>
    <row r="56" spans="1:3" ht="12.75">
      <c r="A56" s="2" t="s">
        <v>1596</v>
      </c>
      <c r="B56" s="11" t="s">
        <v>1487</v>
      </c>
      <c r="C56" s="257"/>
    </row>
    <row r="57" spans="1:3" ht="12.75">
      <c r="A57" s="2" t="s">
        <v>1596</v>
      </c>
      <c r="B57" s="11" t="s">
        <v>1488</v>
      </c>
      <c r="C57" s="257"/>
    </row>
    <row r="58" spans="1:3" ht="12.75">
      <c r="A58" s="2"/>
      <c r="B58" s="3"/>
      <c r="C58" s="253"/>
    </row>
    <row r="59" spans="1:2" ht="12.75">
      <c r="A59" s="2" t="s">
        <v>1597</v>
      </c>
      <c r="B59" s="3" t="s">
        <v>1586</v>
      </c>
    </row>
    <row r="60" spans="1:3" ht="12.75">
      <c r="A60" s="2" t="s">
        <v>1597</v>
      </c>
      <c r="B60" s="11" t="s">
        <v>1489</v>
      </c>
      <c r="C60" s="257" t="s">
        <v>1808</v>
      </c>
    </row>
    <row r="61" spans="1:3" ht="12.75">
      <c r="A61" s="2" t="s">
        <v>1597</v>
      </c>
      <c r="B61" s="11" t="s">
        <v>1490</v>
      </c>
      <c r="C61" s="257"/>
    </row>
    <row r="62" spans="1:3" ht="12.75">
      <c r="A62" s="2" t="s">
        <v>1597</v>
      </c>
      <c r="B62" s="11" t="s">
        <v>1491</v>
      </c>
      <c r="C62" s="257"/>
    </row>
    <row r="63" spans="1:3" ht="12.75">
      <c r="A63" s="2"/>
      <c r="B63" s="3"/>
      <c r="C63" s="253"/>
    </row>
    <row r="64" spans="1:3" ht="12.75">
      <c r="A64" s="2" t="s">
        <v>1598</v>
      </c>
      <c r="B64" s="3" t="s">
        <v>1492</v>
      </c>
      <c r="C64" s="5"/>
    </row>
    <row r="65" spans="1:3" ht="12.75">
      <c r="A65" s="2" t="s">
        <v>1598</v>
      </c>
      <c r="B65" s="11" t="s">
        <v>1493</v>
      </c>
      <c r="C65" s="257" t="s">
        <v>1808</v>
      </c>
    </row>
    <row r="66" spans="1:3" ht="12.75">
      <c r="A66" s="2" t="s">
        <v>1598</v>
      </c>
      <c r="B66" s="11" t="s">
        <v>1494</v>
      </c>
      <c r="C66" s="257"/>
    </row>
    <row r="67" spans="1:3" ht="12.75">
      <c r="A67" s="2" t="s">
        <v>1598</v>
      </c>
      <c r="B67" s="11" t="s">
        <v>1495</v>
      </c>
      <c r="C67" s="257"/>
    </row>
    <row r="68" spans="1:3" ht="12.75">
      <c r="A68" s="2" t="s">
        <v>1598</v>
      </c>
      <c r="B68" s="12" t="s">
        <v>1496</v>
      </c>
      <c r="C68" s="257"/>
    </row>
    <row r="69" spans="1:3" ht="12.75">
      <c r="A69" s="2" t="s">
        <v>1598</v>
      </c>
      <c r="B69" s="11" t="s">
        <v>1497</v>
      </c>
      <c r="C69" s="257"/>
    </row>
    <row r="70" spans="1:3" ht="12.75">
      <c r="A70" s="2" t="s">
        <v>1598</v>
      </c>
      <c r="B70" s="13" t="s">
        <v>1498</v>
      </c>
      <c r="C70" s="257"/>
    </row>
    <row r="71" spans="1:3" ht="12.75">
      <c r="A71" s="2"/>
      <c r="B71" s="258"/>
      <c r="C71" s="85"/>
    </row>
    <row r="72" spans="1:3" ht="12.75">
      <c r="A72" s="2" t="s">
        <v>1598</v>
      </c>
      <c r="B72" s="13" t="s">
        <v>1499</v>
      </c>
      <c r="C72" s="257"/>
    </row>
    <row r="73" spans="1:3" ht="12.75">
      <c r="A73" s="2"/>
      <c r="B73" s="258"/>
      <c r="C73" s="15"/>
    </row>
    <row r="74" spans="1:3" ht="12.75">
      <c r="A74" s="2"/>
      <c r="B74" s="3"/>
      <c r="C74" s="5"/>
    </row>
    <row r="75" spans="1:2" ht="12.75">
      <c r="A75" s="2" t="s">
        <v>1599</v>
      </c>
      <c r="B75" s="3" t="s">
        <v>1587</v>
      </c>
    </row>
    <row r="76" spans="1:3" ht="12.75">
      <c r="A76" s="2" t="s">
        <v>1599</v>
      </c>
      <c r="B76" s="11" t="s">
        <v>1500</v>
      </c>
      <c r="C76" s="257"/>
    </row>
    <row r="77" spans="1:3" ht="12.75">
      <c r="A77" s="2" t="s">
        <v>1599</v>
      </c>
      <c r="B77" s="11" t="s">
        <v>1501</v>
      </c>
      <c r="C77" s="257"/>
    </row>
    <row r="78" spans="1:3" ht="12.75">
      <c r="A78" s="2" t="s">
        <v>1599</v>
      </c>
      <c r="B78" s="11" t="s">
        <v>1502</v>
      </c>
      <c r="C78" s="257"/>
    </row>
    <row r="79" spans="1:3" ht="12.75">
      <c r="A79" s="2" t="s">
        <v>1599</v>
      </c>
      <c r="B79" s="11" t="s">
        <v>1503</v>
      </c>
      <c r="C79" s="257"/>
    </row>
    <row r="80" spans="1:3" ht="12.75">
      <c r="A80" s="2" t="s">
        <v>1599</v>
      </c>
      <c r="B80" s="11" t="s">
        <v>1504</v>
      </c>
      <c r="C80" s="257"/>
    </row>
    <row r="81" spans="1:3" ht="12.75">
      <c r="A81" s="2" t="s">
        <v>1599</v>
      </c>
      <c r="B81" s="11" t="s">
        <v>1505</v>
      </c>
      <c r="C81" s="257" t="s">
        <v>1808</v>
      </c>
    </row>
    <row r="82" spans="1:3" ht="12.75">
      <c r="A82" s="2" t="s">
        <v>1599</v>
      </c>
      <c r="B82" s="11" t="s">
        <v>1506</v>
      </c>
      <c r="C82" s="257"/>
    </row>
    <row r="83" spans="1:3" ht="12.75">
      <c r="A83" s="2" t="s">
        <v>1599</v>
      </c>
      <c r="B83" s="11" t="s">
        <v>1507</v>
      </c>
      <c r="C83" s="257" t="s">
        <v>1808</v>
      </c>
    </row>
    <row r="84" spans="1:3" ht="12.75">
      <c r="A84" s="2" t="s">
        <v>1599</v>
      </c>
      <c r="B84" s="11" t="s">
        <v>1508</v>
      </c>
      <c r="C84" s="257" t="s">
        <v>1808</v>
      </c>
    </row>
    <row r="85" spans="1:3" ht="12.75">
      <c r="A85" s="2" t="s">
        <v>1599</v>
      </c>
      <c r="B85" s="11" t="s">
        <v>1509</v>
      </c>
      <c r="C85" s="257" t="s">
        <v>1808</v>
      </c>
    </row>
    <row r="86" spans="1:3" ht="12.75">
      <c r="A86" s="2" t="s">
        <v>1599</v>
      </c>
      <c r="B86" s="11" t="s">
        <v>1510</v>
      </c>
      <c r="C86" s="257" t="s">
        <v>1808</v>
      </c>
    </row>
    <row r="87" spans="1:3" ht="12.75">
      <c r="A87" s="2" t="s">
        <v>1599</v>
      </c>
      <c r="B87" s="11" t="s">
        <v>1511</v>
      </c>
      <c r="C87" s="257"/>
    </row>
  </sheetData>
  <sheetProtection/>
  <mergeCells count="40">
    <mergeCell ref="A1:F1"/>
    <mergeCell ref="C27:D27"/>
    <mergeCell ref="C29:D29"/>
    <mergeCell ref="C39:D39"/>
    <mergeCell ref="A2:D2"/>
    <mergeCell ref="C3:D3"/>
    <mergeCell ref="C25:D25"/>
    <mergeCell ref="C26:D26"/>
    <mergeCell ref="B22:D22"/>
    <mergeCell ref="B23:D23"/>
    <mergeCell ref="C31:D31"/>
    <mergeCell ref="B33:B34"/>
    <mergeCell ref="C34:D34"/>
    <mergeCell ref="C35:D35"/>
    <mergeCell ref="C36:D36"/>
    <mergeCell ref="C37:D37"/>
    <mergeCell ref="C33:D33"/>
    <mergeCell ref="B43:B44"/>
    <mergeCell ref="C43:D43"/>
    <mergeCell ref="C44:D44"/>
    <mergeCell ref="C51:D51"/>
    <mergeCell ref="C40:D40"/>
    <mergeCell ref="C32:D32"/>
    <mergeCell ref="C38:D38"/>
    <mergeCell ref="B54:D54"/>
    <mergeCell ref="C41:D41"/>
    <mergeCell ref="C42:D42"/>
    <mergeCell ref="C49:D49"/>
    <mergeCell ref="C50:D50"/>
    <mergeCell ref="C46:D46"/>
    <mergeCell ref="C47:D47"/>
    <mergeCell ref="C52:D52"/>
    <mergeCell ref="C48:D48"/>
    <mergeCell ref="C45:D45"/>
    <mergeCell ref="C30:D30"/>
    <mergeCell ref="B8:B9"/>
    <mergeCell ref="C8:C9"/>
    <mergeCell ref="B20:D20"/>
    <mergeCell ref="B27:B28"/>
    <mergeCell ref="C28:D28"/>
  </mergeCells>
  <hyperlinks>
    <hyperlink ref="B20" r:id="rId1" display="http://www.wm.edu/ir/CDS/cds.html"/>
    <hyperlink ref="D16" r:id="rId2" display="ospa@wm.edu"/>
    <hyperlink ref="C40" r:id="rId3" display="http://www.wm.edu"/>
    <hyperlink ref="C50" r:id="rId4" display="admiss@wm.edu"/>
    <hyperlink ref="C51" r:id="rId5" display="http://www.wm.edu/admission/"/>
  </hyperlinks>
  <printOptions/>
  <pageMargins left="0.75" right="0.75" top="1" bottom="1" header="0.5" footer="0.5"/>
  <pageSetup fitToHeight="1" fitToWidth="1" horizontalDpi="600" verticalDpi="600" orientation="portrait" scale="53" r:id="rId6"/>
  <headerFooter alignWithMargins="0">
    <oddHeader>&amp;CCommon Data Set 2006-07</oddHeader>
    <oddFooter>&amp;C&amp;A&amp;RPage &amp;P</oddFooter>
  </headerFooter>
  <ignoredErrors>
    <ignoredError sqref="B68" twoDigitTextYear="1"/>
  </ignoredErrors>
</worksheet>
</file>

<file path=xl/worksheets/sheet5.xml><?xml version="1.0" encoding="utf-8"?>
<worksheet xmlns="http://schemas.openxmlformats.org/spreadsheetml/2006/main" xmlns:r="http://schemas.openxmlformats.org/officeDocument/2006/relationships">
  <dimension ref="A1:G109"/>
  <sheetViews>
    <sheetView tabSelected="1" zoomScalePageLayoutView="0" workbookViewId="0" topLeftCell="A13">
      <selection activeCell="E26" sqref="E26"/>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23.25">
      <c r="A1" s="397" t="s">
        <v>1972</v>
      </c>
      <c r="B1" s="397"/>
      <c r="C1" s="397"/>
      <c r="D1" s="397"/>
      <c r="E1" s="397"/>
      <c r="F1" s="397"/>
    </row>
    <row r="2" spans="1:6" ht="18">
      <c r="A2" s="398" t="s">
        <v>1274</v>
      </c>
      <c r="B2" s="398"/>
      <c r="C2" s="398"/>
      <c r="D2" s="398"/>
      <c r="E2" s="398"/>
      <c r="F2" s="398"/>
    </row>
    <row r="3" ht="27.75" customHeight="1"/>
    <row r="4" spans="1:6" ht="12.75">
      <c r="A4" s="2" t="s">
        <v>1305</v>
      </c>
      <c r="B4" s="413" t="s">
        <v>1993</v>
      </c>
      <c r="C4" s="414"/>
      <c r="D4" s="414"/>
      <c r="E4" s="414"/>
      <c r="F4" s="414"/>
    </row>
    <row r="5" spans="1:6" ht="12.75">
      <c r="A5" s="2" t="s">
        <v>1305</v>
      </c>
      <c r="B5" s="84"/>
      <c r="C5" s="415" t="s">
        <v>1275</v>
      </c>
      <c r="D5" s="415"/>
      <c r="E5" s="415" t="s">
        <v>1276</v>
      </c>
      <c r="F5" s="415"/>
    </row>
    <row r="6" spans="1:6" ht="12.75">
      <c r="A6" s="2" t="s">
        <v>1305</v>
      </c>
      <c r="B6" s="106"/>
      <c r="C6" s="17" t="s">
        <v>1277</v>
      </c>
      <c r="D6" s="17" t="s">
        <v>1278</v>
      </c>
      <c r="E6" s="17" t="s">
        <v>1277</v>
      </c>
      <c r="F6" s="17" t="s">
        <v>1278</v>
      </c>
    </row>
    <row r="7" spans="1:7" ht="12.75">
      <c r="A7" s="2" t="s">
        <v>1305</v>
      </c>
      <c r="B7" s="18" t="s">
        <v>1279</v>
      </c>
      <c r="C7" s="19"/>
      <c r="D7" s="19"/>
      <c r="E7" s="19"/>
      <c r="F7" s="19"/>
      <c r="G7" s="365"/>
    </row>
    <row r="8" spans="1:7" ht="25.5">
      <c r="A8" s="2" t="s">
        <v>1305</v>
      </c>
      <c r="B8" s="20" t="s">
        <v>1280</v>
      </c>
      <c r="C8" s="328">
        <v>616</v>
      </c>
      <c r="D8" s="328">
        <v>729</v>
      </c>
      <c r="E8" s="328">
        <v>1</v>
      </c>
      <c r="F8" s="328">
        <v>0</v>
      </c>
      <c r="G8" s="365"/>
    </row>
    <row r="9" spans="1:7" ht="12.75">
      <c r="A9" s="2" t="s">
        <v>1305</v>
      </c>
      <c r="B9" s="16" t="s">
        <v>1281</v>
      </c>
      <c r="C9" s="328">
        <v>24</v>
      </c>
      <c r="D9" s="328">
        <v>15</v>
      </c>
      <c r="E9" s="328">
        <v>0</v>
      </c>
      <c r="F9" s="328">
        <v>1</v>
      </c>
      <c r="G9" s="365"/>
    </row>
    <row r="10" spans="1:7" ht="12.75">
      <c r="A10" s="2" t="s">
        <v>1305</v>
      </c>
      <c r="B10" s="16" t="s">
        <v>1282</v>
      </c>
      <c r="C10" s="328">
        <v>1983</v>
      </c>
      <c r="D10" s="328">
        <f>677+809+819</f>
        <v>2305</v>
      </c>
      <c r="E10" s="328">
        <v>16</v>
      </c>
      <c r="F10" s="328">
        <f>1+10+5</f>
        <v>16</v>
      </c>
      <c r="G10" s="365"/>
    </row>
    <row r="11" spans="1:7" ht="12.75">
      <c r="A11" s="2" t="s">
        <v>1305</v>
      </c>
      <c r="B11" s="21" t="s">
        <v>1283</v>
      </c>
      <c r="C11" s="88">
        <f>SUM(C8:C10)</f>
        <v>2623</v>
      </c>
      <c r="D11" s="88">
        <f>SUM(D8:D10)</f>
        <v>3049</v>
      </c>
      <c r="E11" s="88">
        <f>SUM(E8:E10)</f>
        <v>17</v>
      </c>
      <c r="F11" s="88">
        <f>SUM(F8:F10)</f>
        <v>17</v>
      </c>
      <c r="G11" s="365"/>
    </row>
    <row r="12" spans="1:7" ht="25.5">
      <c r="A12" s="2" t="s">
        <v>1305</v>
      </c>
      <c r="B12" s="20" t="s">
        <v>1909</v>
      </c>
      <c r="C12" s="328">
        <v>10</v>
      </c>
      <c r="D12" s="328">
        <v>22</v>
      </c>
      <c r="E12" s="328">
        <v>24</v>
      </c>
      <c r="F12" s="328">
        <v>30</v>
      </c>
      <c r="G12" s="365"/>
    </row>
    <row r="13" spans="1:7" ht="12.75">
      <c r="A13" s="2" t="s">
        <v>1305</v>
      </c>
      <c r="B13" s="21" t="s">
        <v>1910</v>
      </c>
      <c r="C13" s="88">
        <v>2633</v>
      </c>
      <c r="D13" s="88">
        <f>SUM(D11:D12)</f>
        <v>3071</v>
      </c>
      <c r="E13" s="88">
        <f>SUM(E11:E12)</f>
        <v>41</v>
      </c>
      <c r="F13" s="88">
        <f>SUM(F11:F12)</f>
        <v>47</v>
      </c>
      <c r="G13" s="365"/>
    </row>
    <row r="14" spans="1:7" ht="12.75">
      <c r="A14" s="2" t="s">
        <v>1305</v>
      </c>
      <c r="B14" s="18" t="s">
        <v>1911</v>
      </c>
      <c r="C14" s="89"/>
      <c r="D14" s="89"/>
      <c r="E14" s="89"/>
      <c r="F14" s="89"/>
      <c r="G14" s="365"/>
    </row>
    <row r="15" spans="1:7" ht="25.5">
      <c r="A15" s="2" t="s">
        <v>1305</v>
      </c>
      <c r="B15" s="22" t="s">
        <v>87</v>
      </c>
      <c r="C15" s="328">
        <v>102</v>
      </c>
      <c r="D15" s="328">
        <v>114</v>
      </c>
      <c r="E15" s="328">
        <v>0</v>
      </c>
      <c r="F15" s="328">
        <v>0</v>
      </c>
      <c r="G15" s="365"/>
    </row>
    <row r="16" spans="1:7" ht="12.75">
      <c r="A16" s="2" t="s">
        <v>1305</v>
      </c>
      <c r="B16" s="23" t="s">
        <v>88</v>
      </c>
      <c r="C16" s="328">
        <f>218+3</f>
        <v>221</v>
      </c>
      <c r="D16" s="328">
        <f>187+4</f>
        <v>191</v>
      </c>
      <c r="E16" s="328">
        <v>1</v>
      </c>
      <c r="F16" s="328">
        <v>2</v>
      </c>
      <c r="G16" s="365"/>
    </row>
    <row r="17" spans="1:7" ht="12.75">
      <c r="A17" s="2" t="s">
        <v>1305</v>
      </c>
      <c r="B17" s="21" t="s">
        <v>1102</v>
      </c>
      <c r="C17" s="88">
        <f>SUM(C15,C16)</f>
        <v>323</v>
      </c>
      <c r="D17" s="88">
        <f>SUM(D15,D16)</f>
        <v>305</v>
      </c>
      <c r="E17" s="88">
        <f>SUM(E15,E16)</f>
        <v>1</v>
      </c>
      <c r="F17" s="88">
        <f>SUM(F15,F16)</f>
        <v>2</v>
      </c>
      <c r="G17" s="365"/>
    </row>
    <row r="18" spans="1:7" ht="12.75">
      <c r="A18" s="2" t="s">
        <v>1305</v>
      </c>
      <c r="B18" s="18" t="s">
        <v>1103</v>
      </c>
      <c r="C18" s="89"/>
      <c r="D18" s="89"/>
      <c r="E18" s="89"/>
      <c r="F18" s="89"/>
      <c r="G18" s="365"/>
    </row>
    <row r="19" spans="1:7" ht="12.75">
      <c r="A19" s="2" t="s">
        <v>1305</v>
      </c>
      <c r="B19" s="23" t="s">
        <v>1104</v>
      </c>
      <c r="C19" s="328">
        <v>160</v>
      </c>
      <c r="D19" s="328">
        <v>207</v>
      </c>
      <c r="E19" s="328">
        <v>44</v>
      </c>
      <c r="F19" s="328">
        <v>37</v>
      </c>
      <c r="G19" s="365"/>
    </row>
    <row r="20" spans="1:7" ht="12.75">
      <c r="A20" s="2" t="s">
        <v>1305</v>
      </c>
      <c r="B20" s="23" t="s">
        <v>1282</v>
      </c>
      <c r="C20" s="328">
        <f>146+143</f>
        <v>289</v>
      </c>
      <c r="D20" s="328">
        <f>131+126</f>
        <v>257</v>
      </c>
      <c r="E20" s="328">
        <f>93+38</f>
        <v>131</v>
      </c>
      <c r="F20" s="328">
        <f>85+89</f>
        <v>174</v>
      </c>
      <c r="G20" s="365"/>
    </row>
    <row r="21" spans="1:7" ht="25.5">
      <c r="A21" s="2" t="s">
        <v>1305</v>
      </c>
      <c r="B21" s="22" t="s">
        <v>1105</v>
      </c>
      <c r="C21" s="328">
        <v>0</v>
      </c>
      <c r="D21" s="328">
        <v>0</v>
      </c>
      <c r="E21" s="328">
        <v>14</v>
      </c>
      <c r="F21" s="328">
        <v>59</v>
      </c>
      <c r="G21" s="365"/>
    </row>
    <row r="22" spans="1:6" ht="12.75">
      <c r="A22" s="2" t="s">
        <v>1305</v>
      </c>
      <c r="B22" s="21" t="s">
        <v>1106</v>
      </c>
      <c r="C22" s="88">
        <f>SUM(C19:C21)</f>
        <v>449</v>
      </c>
      <c r="D22" s="88">
        <f>SUM(D19:D21)</f>
        <v>464</v>
      </c>
      <c r="E22" s="88">
        <f>SUM(E19:E21)</f>
        <v>189</v>
      </c>
      <c r="F22" s="88">
        <f>SUM(F19:F21)</f>
        <v>270</v>
      </c>
    </row>
    <row r="23" spans="1:6" ht="12.75">
      <c r="A23" s="2" t="s">
        <v>1305</v>
      </c>
      <c r="B23" s="386" t="s">
        <v>1107</v>
      </c>
      <c r="C23" s="386"/>
      <c r="D23" s="386"/>
      <c r="E23" s="386"/>
      <c r="F23" s="95">
        <f>SUM(C13:F13)</f>
        <v>5792</v>
      </c>
    </row>
    <row r="24" spans="1:6" ht="12.75">
      <c r="A24" s="2" t="s">
        <v>1305</v>
      </c>
      <c r="B24" s="386" t="s">
        <v>1108</v>
      </c>
      <c r="C24" s="386"/>
      <c r="D24" s="386"/>
      <c r="E24" s="386"/>
      <c r="F24" s="96">
        <f>SUM(C17:F17)+SUM(C22:F22)</f>
        <v>2003</v>
      </c>
    </row>
    <row r="25" spans="1:6" ht="12.75">
      <c r="A25" s="2" t="s">
        <v>1305</v>
      </c>
      <c r="B25" s="416" t="s">
        <v>1109</v>
      </c>
      <c r="C25" s="416"/>
      <c r="D25" s="416"/>
      <c r="E25" s="416"/>
      <c r="F25" s="97">
        <f>SUM(F23:F24)</f>
        <v>7795</v>
      </c>
    </row>
    <row r="26" ht="54" customHeight="1"/>
    <row r="27" spans="1:6" ht="12.75">
      <c r="A27" s="2" t="s">
        <v>1306</v>
      </c>
      <c r="B27" s="417" t="s">
        <v>1994</v>
      </c>
      <c r="C27" s="418"/>
      <c r="D27" s="418"/>
      <c r="E27" s="418"/>
      <c r="F27" s="418"/>
    </row>
    <row r="28" spans="1:6" ht="60">
      <c r="A28" s="2" t="s">
        <v>1306</v>
      </c>
      <c r="B28" s="419"/>
      <c r="C28" s="419"/>
      <c r="D28" s="118" t="s">
        <v>1110</v>
      </c>
      <c r="E28" s="118" t="s">
        <v>456</v>
      </c>
      <c r="F28" s="118" t="s">
        <v>1304</v>
      </c>
    </row>
    <row r="29" spans="1:6" ht="12.75">
      <c r="A29" s="2" t="s">
        <v>1306</v>
      </c>
      <c r="B29" s="420" t="s">
        <v>1111</v>
      </c>
      <c r="C29" s="420"/>
      <c r="D29" s="330">
        <v>41</v>
      </c>
      <c r="E29" s="330">
        <v>115</v>
      </c>
      <c r="F29" s="330">
        <v>137</v>
      </c>
    </row>
    <row r="30" spans="1:6" ht="12.75">
      <c r="A30" s="2" t="s">
        <v>1306</v>
      </c>
      <c r="B30" s="420" t="s">
        <v>1112</v>
      </c>
      <c r="C30" s="420"/>
      <c r="D30" s="330">
        <v>95</v>
      </c>
      <c r="E30" s="330">
        <v>384</v>
      </c>
      <c r="F30" s="330">
        <v>386</v>
      </c>
    </row>
    <row r="31" spans="1:6" ht="12.75">
      <c r="A31" s="2" t="s">
        <v>1306</v>
      </c>
      <c r="B31" s="420" t="s">
        <v>414</v>
      </c>
      <c r="C31" s="420"/>
      <c r="D31" s="330">
        <v>14</v>
      </c>
      <c r="E31" s="330">
        <v>42</v>
      </c>
      <c r="F31" s="330">
        <v>42</v>
      </c>
    </row>
    <row r="32" spans="1:6" ht="12.75">
      <c r="A32" s="2" t="s">
        <v>1306</v>
      </c>
      <c r="B32" s="420" t="s">
        <v>1113</v>
      </c>
      <c r="C32" s="420"/>
      <c r="D32" s="330">
        <v>115</v>
      </c>
      <c r="E32" s="330">
        <v>421</v>
      </c>
      <c r="F32" s="330">
        <v>426</v>
      </c>
    </row>
    <row r="33" spans="1:6" ht="12.75">
      <c r="A33" s="2" t="s">
        <v>1306</v>
      </c>
      <c r="B33" s="420" t="s">
        <v>1114</v>
      </c>
      <c r="C33" s="420"/>
      <c r="D33" s="330">
        <v>78</v>
      </c>
      <c r="E33" s="330">
        <v>322</v>
      </c>
      <c r="F33" s="330">
        <v>325</v>
      </c>
    </row>
    <row r="34" spans="1:6" ht="12.75">
      <c r="A34" s="2" t="s">
        <v>1306</v>
      </c>
      <c r="B34" s="420" t="s">
        <v>1115</v>
      </c>
      <c r="C34" s="420"/>
      <c r="D34" s="330">
        <v>728</v>
      </c>
      <c r="E34" s="330">
        <v>3660</v>
      </c>
      <c r="F34" s="330">
        <v>3710</v>
      </c>
    </row>
    <row r="35" spans="1:6" ht="12.75">
      <c r="A35" s="2" t="s">
        <v>1306</v>
      </c>
      <c r="B35" s="420" t="s">
        <v>1116</v>
      </c>
      <c r="C35" s="420"/>
      <c r="D35" s="330">
        <v>275</v>
      </c>
      <c r="E35" s="330">
        <v>762</v>
      </c>
      <c r="F35" s="330">
        <v>766</v>
      </c>
    </row>
    <row r="36" spans="1:6" ht="12.75">
      <c r="A36" s="2" t="s">
        <v>1306</v>
      </c>
      <c r="B36" s="421" t="s">
        <v>1117</v>
      </c>
      <c r="C36" s="421"/>
      <c r="D36" s="91">
        <f>SUM(D29:D35)</f>
        <v>1346</v>
      </c>
      <c r="E36" s="91">
        <f>SUM(E29:E35)</f>
        <v>5706</v>
      </c>
      <c r="F36" s="91">
        <f>SUM(F29:F35)</f>
        <v>5792</v>
      </c>
    </row>
    <row r="38" ht="15.75">
      <c r="B38" s="24" t="s">
        <v>1118</v>
      </c>
    </row>
    <row r="39" spans="1:6" ht="12.75">
      <c r="A39" s="2" t="s">
        <v>1307</v>
      </c>
      <c r="B39" s="3" t="s">
        <v>1995</v>
      </c>
      <c r="F39" s="25"/>
    </row>
    <row r="40" spans="1:6" ht="12.75">
      <c r="A40" s="2" t="s">
        <v>1307</v>
      </c>
      <c r="B40" s="11" t="s">
        <v>1119</v>
      </c>
      <c r="C40" s="335"/>
      <c r="F40" s="25"/>
    </row>
    <row r="41" spans="1:6" ht="12.75">
      <c r="A41" s="2" t="s">
        <v>1307</v>
      </c>
      <c r="B41" s="11" t="s">
        <v>1120</v>
      </c>
      <c r="C41" s="335"/>
      <c r="F41" s="25"/>
    </row>
    <row r="42" spans="1:6" ht="12.75">
      <c r="A42" s="2" t="s">
        <v>1307</v>
      </c>
      <c r="B42" s="11" t="s">
        <v>1121</v>
      </c>
      <c r="C42" s="335">
        <v>1376</v>
      </c>
      <c r="F42" s="25"/>
    </row>
    <row r="43" spans="1:6" ht="12.75">
      <c r="A43" s="2" t="s">
        <v>1307</v>
      </c>
      <c r="B43" s="11" t="s">
        <v>1588</v>
      </c>
      <c r="C43" s="335"/>
      <c r="F43" s="25"/>
    </row>
    <row r="44" spans="1:6" ht="12.75">
      <c r="A44" s="2" t="s">
        <v>1307</v>
      </c>
      <c r="B44" s="11" t="s">
        <v>1122</v>
      </c>
      <c r="C44" s="335">
        <v>464</v>
      </c>
      <c r="F44" s="25"/>
    </row>
    <row r="45" spans="1:6" ht="12.75">
      <c r="A45" s="2" t="s">
        <v>1307</v>
      </c>
      <c r="B45" s="11" t="s">
        <v>1123</v>
      </c>
      <c r="C45" s="335">
        <v>12</v>
      </c>
      <c r="F45" s="25"/>
    </row>
    <row r="46" spans="1:6" ht="12.75">
      <c r="A46" s="2" t="s">
        <v>1307</v>
      </c>
      <c r="B46" s="11" t="s">
        <v>1124</v>
      </c>
      <c r="C46" s="335">
        <v>54</v>
      </c>
      <c r="F46" s="25"/>
    </row>
    <row r="47" spans="1:6" ht="12.75">
      <c r="A47" s="2" t="s">
        <v>1307</v>
      </c>
      <c r="B47" s="11" t="s">
        <v>1125</v>
      </c>
      <c r="C47" s="335">
        <v>198</v>
      </c>
      <c r="F47" s="25"/>
    </row>
    <row r="48" spans="1:6" ht="12.75">
      <c r="A48" s="2" t="s">
        <v>1307</v>
      </c>
      <c r="B48" s="11" t="s">
        <v>1818</v>
      </c>
      <c r="C48" s="335"/>
      <c r="F48" s="25"/>
    </row>
    <row r="50" spans="2:6" ht="42.75" customHeight="1">
      <c r="B50" s="26" t="s">
        <v>1819</v>
      </c>
      <c r="C50" s="4"/>
      <c r="D50" s="4"/>
      <c r="E50" s="4"/>
      <c r="F50" s="4"/>
    </row>
    <row r="51" spans="2:6" ht="12.75">
      <c r="B51" s="422" t="s">
        <v>1996</v>
      </c>
      <c r="C51" s="422"/>
      <c r="D51" s="422"/>
      <c r="E51" s="422"/>
      <c r="F51" s="422"/>
    </row>
    <row r="52" spans="1:6" ht="12.75">
      <c r="A52" s="7"/>
      <c r="B52" s="4"/>
      <c r="C52" s="4"/>
      <c r="D52" s="4"/>
      <c r="E52" s="4"/>
      <c r="F52" s="4"/>
    </row>
    <row r="53" spans="1:6" s="172" customFormat="1" ht="12.75">
      <c r="A53" s="1"/>
      <c r="B53" s="423" t="s">
        <v>1240</v>
      </c>
      <c r="C53" s="424"/>
      <c r="D53" s="27"/>
      <c r="E53" s="27"/>
      <c r="F53" s="27"/>
    </row>
    <row r="54" spans="1:6" s="172" customFormat="1" ht="25.5" customHeight="1">
      <c r="A54" s="163"/>
      <c r="B54" s="171"/>
      <c r="C54" s="171"/>
      <c r="D54" s="171"/>
      <c r="E54" s="171"/>
      <c r="F54" s="171"/>
    </row>
    <row r="55" spans="1:6" s="172" customFormat="1" ht="12.75">
      <c r="A55" s="163"/>
      <c r="B55" s="425" t="s">
        <v>1997</v>
      </c>
      <c r="C55" s="425"/>
      <c r="D55" s="425"/>
      <c r="E55" s="425"/>
      <c r="F55" s="171"/>
    </row>
    <row r="56" spans="1:6" s="172" customFormat="1" ht="12.75">
      <c r="A56" s="163"/>
      <c r="B56" s="162"/>
      <c r="C56" s="162"/>
      <c r="D56" s="162"/>
      <c r="E56" s="162"/>
      <c r="F56" s="171"/>
    </row>
    <row r="57" spans="1:6" ht="39.75" customHeight="1">
      <c r="A57" s="163"/>
      <c r="B57" s="173" t="s">
        <v>1149</v>
      </c>
      <c r="C57" s="162"/>
      <c r="D57" s="162"/>
      <c r="E57" s="162"/>
      <c r="F57" s="171"/>
    </row>
    <row r="58" spans="2:6" ht="42" customHeight="1">
      <c r="B58" s="425" t="s">
        <v>1998</v>
      </c>
      <c r="C58" s="422"/>
      <c r="D58" s="422"/>
      <c r="E58" s="422"/>
      <c r="F58" s="422"/>
    </row>
    <row r="59" spans="1:6" ht="51.75" customHeight="1">
      <c r="A59" s="2" t="s">
        <v>1308</v>
      </c>
      <c r="B59" s="426" t="s">
        <v>1999</v>
      </c>
      <c r="C59" s="427"/>
      <c r="D59" s="427"/>
      <c r="E59" s="428"/>
      <c r="F59" s="330">
        <v>1359</v>
      </c>
    </row>
    <row r="60" spans="1:6" ht="26.25" customHeight="1">
      <c r="A60" s="2" t="s">
        <v>1309</v>
      </c>
      <c r="B60" s="410" t="s">
        <v>2000</v>
      </c>
      <c r="C60" s="411"/>
      <c r="D60" s="411"/>
      <c r="E60" s="412"/>
      <c r="F60" s="330">
        <v>1</v>
      </c>
    </row>
    <row r="61" spans="1:6" ht="25.5" customHeight="1">
      <c r="A61" s="2" t="s">
        <v>1310</v>
      </c>
      <c r="B61" s="407" t="s">
        <v>2001</v>
      </c>
      <c r="C61" s="408"/>
      <c r="D61" s="408"/>
      <c r="E61" s="409"/>
      <c r="F61" s="90">
        <f>F59-F60</f>
        <v>1358</v>
      </c>
    </row>
    <row r="62" spans="1:6" ht="27.75" customHeight="1">
      <c r="A62" s="2" t="s">
        <v>1311</v>
      </c>
      <c r="B62" s="407" t="s">
        <v>2002</v>
      </c>
      <c r="C62" s="408"/>
      <c r="D62" s="408"/>
      <c r="E62" s="409"/>
      <c r="F62" s="330">
        <v>1140</v>
      </c>
    </row>
    <row r="63" spans="1:6" ht="30.75" customHeight="1">
      <c r="A63" s="2" t="s">
        <v>1312</v>
      </c>
      <c r="B63" s="407" t="s">
        <v>1140</v>
      </c>
      <c r="C63" s="408"/>
      <c r="D63" s="408"/>
      <c r="E63" s="409"/>
      <c r="F63" s="330">
        <v>92</v>
      </c>
    </row>
    <row r="64" spans="1:6" ht="27.75" customHeight="1">
      <c r="A64" s="2" t="s">
        <v>1313</v>
      </c>
      <c r="B64" s="410" t="s">
        <v>1141</v>
      </c>
      <c r="C64" s="411"/>
      <c r="D64" s="411"/>
      <c r="E64" s="412"/>
      <c r="F64" s="330">
        <v>11</v>
      </c>
    </row>
    <row r="65" spans="1:6" ht="15.75" customHeight="1">
      <c r="A65" s="2" t="s">
        <v>1314</v>
      </c>
      <c r="B65" s="407" t="s">
        <v>1241</v>
      </c>
      <c r="C65" s="408"/>
      <c r="D65" s="408"/>
      <c r="E65" s="409"/>
      <c r="F65" s="90">
        <f>SUM(F62:F64)</f>
        <v>1243</v>
      </c>
    </row>
    <row r="66" spans="1:6" s="172" customFormat="1" ht="12.75">
      <c r="A66" s="2" t="s">
        <v>525</v>
      </c>
      <c r="B66" s="407" t="s">
        <v>1142</v>
      </c>
      <c r="C66" s="408"/>
      <c r="D66" s="408"/>
      <c r="E66" s="409"/>
      <c r="F66" s="367">
        <f>FourYearCohortGraduatedIn6YearsTotal1/FourYearCohortFinal1</f>
        <v>0.9153166421207658</v>
      </c>
    </row>
    <row r="67" spans="1:6" s="172" customFormat="1" ht="12.75">
      <c r="A67" s="163"/>
      <c r="B67" s="162"/>
      <c r="C67" s="162"/>
      <c r="D67" s="162"/>
      <c r="E67" s="162"/>
      <c r="F67" s="171"/>
    </row>
    <row r="68" spans="1:6" ht="39.75" customHeight="1">
      <c r="A68" s="163"/>
      <c r="B68" s="174" t="s">
        <v>1272</v>
      </c>
      <c r="C68" s="171"/>
      <c r="D68" s="171"/>
      <c r="E68" s="171"/>
      <c r="F68" s="171"/>
    </row>
    <row r="69" spans="2:6" ht="38.25" customHeight="1">
      <c r="B69" s="425" t="s">
        <v>1273</v>
      </c>
      <c r="C69" s="422"/>
      <c r="D69" s="422"/>
      <c r="E69" s="422"/>
      <c r="F69" s="422"/>
    </row>
    <row r="70" spans="1:6" ht="51.75" customHeight="1">
      <c r="A70" s="2" t="s">
        <v>1308</v>
      </c>
      <c r="B70" s="426" t="s">
        <v>352</v>
      </c>
      <c r="C70" s="427"/>
      <c r="D70" s="427"/>
      <c r="E70" s="428"/>
      <c r="F70" s="330">
        <v>1348</v>
      </c>
    </row>
    <row r="71" spans="1:6" ht="26.25" customHeight="1">
      <c r="A71" s="2" t="s">
        <v>1309</v>
      </c>
      <c r="B71" s="410" t="s">
        <v>353</v>
      </c>
      <c r="C71" s="411"/>
      <c r="D71" s="411"/>
      <c r="E71" s="412"/>
      <c r="F71" s="330">
        <v>1</v>
      </c>
    </row>
    <row r="72" spans="1:6" ht="25.5" customHeight="1">
      <c r="A72" s="2" t="s">
        <v>1310</v>
      </c>
      <c r="B72" s="407" t="s">
        <v>354</v>
      </c>
      <c r="C72" s="408"/>
      <c r="D72" s="408"/>
      <c r="E72" s="409"/>
      <c r="F72" s="90">
        <v>1347</v>
      </c>
    </row>
    <row r="73" spans="1:6" ht="27.75" customHeight="1">
      <c r="A73" s="2" t="s">
        <v>1311</v>
      </c>
      <c r="B73" s="407" t="s">
        <v>355</v>
      </c>
      <c r="C73" s="408"/>
      <c r="D73" s="408"/>
      <c r="E73" s="409"/>
      <c r="F73" s="330">
        <v>1118</v>
      </c>
    </row>
    <row r="74" spans="1:6" ht="30.75" customHeight="1">
      <c r="A74" s="2" t="s">
        <v>1312</v>
      </c>
      <c r="B74" s="407" t="s">
        <v>356</v>
      </c>
      <c r="C74" s="408"/>
      <c r="D74" s="408"/>
      <c r="E74" s="409"/>
      <c r="F74" s="330">
        <v>92</v>
      </c>
    </row>
    <row r="75" spans="1:6" ht="29.25" customHeight="1">
      <c r="A75" s="2" t="s">
        <v>1313</v>
      </c>
      <c r="B75" s="410" t="s">
        <v>357</v>
      </c>
      <c r="C75" s="411"/>
      <c r="D75" s="411"/>
      <c r="E75" s="412"/>
      <c r="F75" s="330">
        <v>16</v>
      </c>
    </row>
    <row r="76" spans="1:6" ht="15.75" customHeight="1">
      <c r="A76" s="2" t="s">
        <v>1314</v>
      </c>
      <c r="B76" s="407" t="s">
        <v>1241</v>
      </c>
      <c r="C76" s="408"/>
      <c r="D76" s="408"/>
      <c r="E76" s="409"/>
      <c r="F76" s="90">
        <f>SUM(F73:F75)</f>
        <v>1226</v>
      </c>
    </row>
    <row r="77" spans="1:6" ht="12.75">
      <c r="A77" s="2" t="s">
        <v>525</v>
      </c>
      <c r="B77" s="407" t="s">
        <v>358</v>
      </c>
      <c r="C77" s="408"/>
      <c r="D77" s="408"/>
      <c r="E77" s="409"/>
      <c r="F77" s="93">
        <f>F76/F72</f>
        <v>0.9101707498144024</v>
      </c>
    </row>
    <row r="78" ht="12.75">
      <c r="F78" s="94"/>
    </row>
    <row r="79" spans="1:6" s="172" customFormat="1" ht="12.75">
      <c r="A79" s="1"/>
      <c r="B79" s="3" t="s">
        <v>152</v>
      </c>
      <c r="C79"/>
      <c r="D79"/>
      <c r="E79"/>
      <c r="F79" s="94"/>
    </row>
    <row r="80" spans="1:6" s="172" customFormat="1" ht="25.5" customHeight="1">
      <c r="A80" s="163"/>
      <c r="F80" s="175"/>
    </row>
    <row r="81" spans="1:6" s="172" customFormat="1" ht="12.75">
      <c r="A81" s="163"/>
      <c r="B81" s="430" t="s">
        <v>1144</v>
      </c>
      <c r="C81" s="430"/>
      <c r="D81" s="430"/>
      <c r="E81" s="430"/>
      <c r="F81" s="175"/>
    </row>
    <row r="82" spans="1:6" s="172" customFormat="1" ht="12.75">
      <c r="A82" s="163"/>
      <c r="F82" s="175"/>
    </row>
    <row r="83" spans="1:6" s="172" customFormat="1" ht="12.75" customHeight="1">
      <c r="A83" s="163"/>
      <c r="B83" s="176" t="s">
        <v>1148</v>
      </c>
      <c r="F83" s="175"/>
    </row>
    <row r="84" spans="1:6" s="172" customFormat="1" ht="51.75" customHeight="1">
      <c r="A84" s="2" t="s">
        <v>1821</v>
      </c>
      <c r="B84" s="406" t="s">
        <v>1145</v>
      </c>
      <c r="C84" s="406"/>
      <c r="D84" s="406"/>
      <c r="E84" s="406"/>
      <c r="F84" s="329"/>
    </row>
    <row r="85" spans="1:6" s="172" customFormat="1" ht="25.5" customHeight="1">
      <c r="A85" s="28" t="s">
        <v>1242</v>
      </c>
      <c r="B85" s="406" t="s">
        <v>1146</v>
      </c>
      <c r="C85" s="406"/>
      <c r="D85" s="406"/>
      <c r="E85" s="406"/>
      <c r="F85" s="329"/>
    </row>
    <row r="86" spans="1:6" s="172" customFormat="1" ht="12.75" customHeight="1">
      <c r="A86" s="28" t="s">
        <v>1243</v>
      </c>
      <c r="B86" s="406" t="s">
        <v>1147</v>
      </c>
      <c r="C86" s="406"/>
      <c r="D86" s="406"/>
      <c r="E86" s="406"/>
      <c r="F86" s="92">
        <f>F84-F85</f>
        <v>0</v>
      </c>
    </row>
    <row r="87" spans="1:6" s="172" customFormat="1" ht="12.75" customHeight="1">
      <c r="A87" s="28" t="s">
        <v>1244</v>
      </c>
      <c r="B87" s="406" t="s">
        <v>1251</v>
      </c>
      <c r="C87" s="406"/>
      <c r="D87" s="406"/>
      <c r="E87" s="406"/>
      <c r="F87" s="329"/>
    </row>
    <row r="88" spans="1:6" s="172" customFormat="1" ht="12.75" customHeight="1">
      <c r="A88" s="2" t="s">
        <v>1245</v>
      </c>
      <c r="B88" s="406" t="s">
        <v>1252</v>
      </c>
      <c r="C88" s="406"/>
      <c r="D88" s="406"/>
      <c r="E88" s="406"/>
      <c r="F88" s="329"/>
    </row>
    <row r="89" spans="1:6" s="172" customFormat="1" ht="25.5" customHeight="1">
      <c r="A89" s="2" t="s">
        <v>1246</v>
      </c>
      <c r="B89" s="406" t="s">
        <v>1253</v>
      </c>
      <c r="C89" s="406"/>
      <c r="D89" s="406"/>
      <c r="E89" s="406"/>
      <c r="F89" s="329"/>
    </row>
    <row r="90" spans="1:6" s="172" customFormat="1" ht="12.75" customHeight="1">
      <c r="A90" s="2" t="s">
        <v>1247</v>
      </c>
      <c r="B90" s="406" t="s">
        <v>1254</v>
      </c>
      <c r="C90" s="406"/>
      <c r="D90" s="406"/>
      <c r="E90" s="406"/>
      <c r="F90" s="329"/>
    </row>
    <row r="91" spans="1:6" s="172" customFormat="1" ht="12.75" customHeight="1">
      <c r="A91" s="2" t="s">
        <v>1248</v>
      </c>
      <c r="B91" s="406" t="s">
        <v>1255</v>
      </c>
      <c r="C91" s="406"/>
      <c r="D91" s="406"/>
      <c r="E91" s="406"/>
      <c r="F91" s="329"/>
    </row>
    <row r="92" spans="1:6" s="172" customFormat="1" ht="12.75" customHeight="1">
      <c r="A92" s="2" t="s">
        <v>1249</v>
      </c>
      <c r="B92" s="406" t="s">
        <v>1256</v>
      </c>
      <c r="C92" s="406"/>
      <c r="D92" s="406"/>
      <c r="E92" s="406"/>
      <c r="F92" s="329"/>
    </row>
    <row r="93" spans="1:6" s="172" customFormat="1" ht="12.75">
      <c r="A93" s="2" t="s">
        <v>1250</v>
      </c>
      <c r="B93" s="406" t="s">
        <v>1257</v>
      </c>
      <c r="C93" s="406"/>
      <c r="D93" s="406"/>
      <c r="E93" s="406"/>
      <c r="F93" s="329"/>
    </row>
    <row r="94" spans="1:6" s="172" customFormat="1" ht="12.75">
      <c r="A94" s="2"/>
      <c r="B94" s="52"/>
      <c r="C94" s="52"/>
      <c r="D94" s="52"/>
      <c r="E94" s="52"/>
      <c r="F94" s="177"/>
    </row>
    <row r="95" spans="1:6" ht="12.75" customHeight="1">
      <c r="A95" s="163"/>
      <c r="B95" s="176" t="s">
        <v>359</v>
      </c>
      <c r="C95" s="172"/>
      <c r="D95" s="172"/>
      <c r="E95" s="172"/>
      <c r="F95" s="175"/>
    </row>
    <row r="96" spans="1:6" ht="51" customHeight="1">
      <c r="A96" s="2" t="s">
        <v>1821</v>
      </c>
      <c r="B96" s="429" t="s">
        <v>360</v>
      </c>
      <c r="C96" s="408"/>
      <c r="D96" s="408"/>
      <c r="E96" s="409"/>
      <c r="F96" s="329"/>
    </row>
    <row r="97" spans="1:6" ht="27.75" customHeight="1">
      <c r="A97" s="28" t="s">
        <v>1242</v>
      </c>
      <c r="B97" s="429" t="s">
        <v>361</v>
      </c>
      <c r="C97" s="408"/>
      <c r="D97" s="408"/>
      <c r="E97" s="409"/>
      <c r="F97" s="329"/>
    </row>
    <row r="98" spans="1:6" ht="12.75" customHeight="1">
      <c r="A98" s="28" t="s">
        <v>1243</v>
      </c>
      <c r="B98" s="429" t="s">
        <v>362</v>
      </c>
      <c r="C98" s="408"/>
      <c r="D98" s="408"/>
      <c r="E98" s="409"/>
      <c r="F98" s="92">
        <f>F96-F97</f>
        <v>0</v>
      </c>
    </row>
    <row r="99" spans="1:6" ht="12.75" customHeight="1">
      <c r="A99" s="28" t="s">
        <v>1244</v>
      </c>
      <c r="B99" s="429" t="s">
        <v>1251</v>
      </c>
      <c r="C99" s="408"/>
      <c r="D99" s="408"/>
      <c r="E99" s="409"/>
      <c r="F99" s="329"/>
    </row>
    <row r="100" spans="1:6" ht="12.75" customHeight="1">
      <c r="A100" s="2" t="s">
        <v>1245</v>
      </c>
      <c r="B100" s="429" t="s">
        <v>1252</v>
      </c>
      <c r="C100" s="408"/>
      <c r="D100" s="408"/>
      <c r="E100" s="409"/>
      <c r="F100" s="329"/>
    </row>
    <row r="101" spans="1:6" ht="24.75" customHeight="1">
      <c r="A101" s="2" t="s">
        <v>1246</v>
      </c>
      <c r="B101" s="429" t="s">
        <v>1253</v>
      </c>
      <c r="C101" s="408"/>
      <c r="D101" s="408"/>
      <c r="E101" s="409"/>
      <c r="F101" s="329"/>
    </row>
    <row r="102" spans="1:6" ht="12.75" customHeight="1">
      <c r="A102" s="2" t="s">
        <v>1247</v>
      </c>
      <c r="B102" s="429" t="s">
        <v>1254</v>
      </c>
      <c r="C102" s="408"/>
      <c r="D102" s="408"/>
      <c r="E102" s="409"/>
      <c r="F102" s="329"/>
    </row>
    <row r="103" spans="1:6" ht="12.75" customHeight="1">
      <c r="A103" s="2" t="s">
        <v>1248</v>
      </c>
      <c r="B103" s="429" t="s">
        <v>1255</v>
      </c>
      <c r="C103" s="408"/>
      <c r="D103" s="408"/>
      <c r="E103" s="409"/>
      <c r="F103" s="329"/>
    </row>
    <row r="104" spans="1:6" ht="12.75" customHeight="1">
      <c r="A104" s="2" t="s">
        <v>1249</v>
      </c>
      <c r="B104" s="429" t="s">
        <v>1256</v>
      </c>
      <c r="C104" s="408"/>
      <c r="D104" s="408"/>
      <c r="E104" s="409"/>
      <c r="F104" s="329"/>
    </row>
    <row r="105" spans="1:6" ht="12.75">
      <c r="A105" s="2" t="s">
        <v>1250</v>
      </c>
      <c r="B105" s="429" t="s">
        <v>1257</v>
      </c>
      <c r="C105" s="408"/>
      <c r="D105" s="408"/>
      <c r="E105" s="409"/>
      <c r="F105" s="329"/>
    </row>
    <row r="107" ht="65.25" customHeight="1">
      <c r="B107" s="3" t="s">
        <v>1820</v>
      </c>
    </row>
    <row r="108" spans="2:6" ht="51.75" customHeight="1">
      <c r="B108" s="368" t="s">
        <v>1150</v>
      </c>
      <c r="C108" s="368"/>
      <c r="D108" s="368"/>
      <c r="E108" s="368"/>
      <c r="F108" s="368"/>
    </row>
    <row r="109" spans="1:6" ht="12.75">
      <c r="A109" s="2" t="s">
        <v>1258</v>
      </c>
      <c r="B109" s="429" t="s">
        <v>1151</v>
      </c>
      <c r="C109" s="408"/>
      <c r="D109" s="408"/>
      <c r="E109" s="409"/>
      <c r="F109" s="270">
        <v>0.95</v>
      </c>
    </row>
  </sheetData>
  <sheetProtection/>
  <mergeCells count="62">
    <mergeCell ref="A1:F1"/>
    <mergeCell ref="B105:E105"/>
    <mergeCell ref="B108:F108"/>
    <mergeCell ref="B109:E109"/>
    <mergeCell ref="B101:E101"/>
    <mergeCell ref="B102:E102"/>
    <mergeCell ref="B103:E103"/>
    <mergeCell ref="B104:E104"/>
    <mergeCell ref="B97:E97"/>
    <mergeCell ref="B98:E98"/>
    <mergeCell ref="B99:E99"/>
    <mergeCell ref="B100:E100"/>
    <mergeCell ref="B75:E75"/>
    <mergeCell ref="B76:E76"/>
    <mergeCell ref="B77:E77"/>
    <mergeCell ref="B96:E96"/>
    <mergeCell ref="B81:E81"/>
    <mergeCell ref="B84:E84"/>
    <mergeCell ref="B85:E85"/>
    <mergeCell ref="B86:E86"/>
    <mergeCell ref="B88:E88"/>
    <mergeCell ref="B70:E70"/>
    <mergeCell ref="B71:E71"/>
    <mergeCell ref="B72:E72"/>
    <mergeCell ref="B74:E74"/>
    <mergeCell ref="B73:E73"/>
    <mergeCell ref="B53:C53"/>
    <mergeCell ref="B69:F69"/>
    <mergeCell ref="B55:E55"/>
    <mergeCell ref="B58:F58"/>
    <mergeCell ref="B59:E59"/>
    <mergeCell ref="B60:E60"/>
    <mergeCell ref="B61:E61"/>
    <mergeCell ref="B62:E62"/>
    <mergeCell ref="B32:C32"/>
    <mergeCell ref="B33:C33"/>
    <mergeCell ref="B34:C34"/>
    <mergeCell ref="B35:C35"/>
    <mergeCell ref="B36:C36"/>
    <mergeCell ref="B51:F51"/>
    <mergeCell ref="B25:E25"/>
    <mergeCell ref="B27:F27"/>
    <mergeCell ref="B28:C28"/>
    <mergeCell ref="B29:C29"/>
    <mergeCell ref="B30:C30"/>
    <mergeCell ref="B31:C31"/>
    <mergeCell ref="A2:F2"/>
    <mergeCell ref="B4:F4"/>
    <mergeCell ref="C5:D5"/>
    <mergeCell ref="E5:F5"/>
    <mergeCell ref="B23:E23"/>
    <mergeCell ref="B24:E24"/>
    <mergeCell ref="B93:E93"/>
    <mergeCell ref="B89:E89"/>
    <mergeCell ref="B90:E90"/>
    <mergeCell ref="B91:E91"/>
    <mergeCell ref="B92:E92"/>
    <mergeCell ref="B63:E63"/>
    <mergeCell ref="B64:E64"/>
    <mergeCell ref="B65:E65"/>
    <mergeCell ref="B66:E66"/>
    <mergeCell ref="B87:E8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72"/>
  <sheetViews>
    <sheetView zoomScalePageLayoutView="0" workbookViewId="0" topLeftCell="A199">
      <selection activeCell="J265" sqref="J265"/>
    </sheetView>
  </sheetViews>
  <sheetFormatPr defaultColWidth="9.140625" defaultRowHeight="12.75"/>
  <cols>
    <col min="1" max="1" width="4.421875" style="1" customWidth="1"/>
    <col min="2" max="2" width="27.00390625" style="0" customWidth="1"/>
    <col min="3" max="6" width="14.7109375" style="0" customWidth="1"/>
  </cols>
  <sheetData>
    <row r="1" spans="1:6" ht="23.25">
      <c r="A1" s="397" t="s">
        <v>1972</v>
      </c>
      <c r="B1" s="397"/>
      <c r="C1" s="397"/>
      <c r="D1" s="397"/>
      <c r="E1" s="397"/>
      <c r="F1" s="397"/>
    </row>
    <row r="2" spans="1:6" ht="18">
      <c r="A2" s="398" t="s">
        <v>1259</v>
      </c>
      <c r="B2" s="471"/>
      <c r="C2" s="471"/>
      <c r="D2" s="471"/>
      <c r="E2" s="471"/>
      <c r="F2" s="471"/>
    </row>
    <row r="4" ht="15.75">
      <c r="B4" s="24" t="s">
        <v>1260</v>
      </c>
    </row>
    <row r="5" spans="1:6" ht="93" customHeight="1">
      <c r="A5" s="2" t="s">
        <v>569</v>
      </c>
      <c r="B5" s="465" t="s">
        <v>1990</v>
      </c>
      <c r="C5" s="473"/>
      <c r="D5" s="473"/>
      <c r="E5" s="473"/>
      <c r="F5" s="386"/>
    </row>
    <row r="6" spans="1:5" ht="12.75">
      <c r="A6" s="2" t="s">
        <v>569</v>
      </c>
      <c r="B6" s="407" t="s">
        <v>1716</v>
      </c>
      <c r="C6" s="451"/>
      <c r="D6" s="452"/>
      <c r="E6" s="331">
        <v>3930</v>
      </c>
    </row>
    <row r="7" spans="1:5" ht="12.75">
      <c r="A7" s="2" t="s">
        <v>569</v>
      </c>
      <c r="B7" s="472" t="s">
        <v>1524</v>
      </c>
      <c r="C7" s="449"/>
      <c r="D7" s="450"/>
      <c r="E7" s="331">
        <v>6923</v>
      </c>
    </row>
    <row r="8" spans="1:5" ht="12.75">
      <c r="A8" s="2"/>
      <c r="B8" s="14"/>
      <c r="C8" s="43"/>
      <c r="D8" s="43"/>
      <c r="E8" s="14"/>
    </row>
    <row r="9" spans="1:5" ht="12.75">
      <c r="A9" s="2" t="s">
        <v>569</v>
      </c>
      <c r="B9" s="472" t="s">
        <v>1525</v>
      </c>
      <c r="C9" s="449"/>
      <c r="D9" s="450"/>
      <c r="E9" s="331">
        <v>1713</v>
      </c>
    </row>
    <row r="10" spans="1:5" ht="12.75">
      <c r="A10" s="2" t="s">
        <v>569</v>
      </c>
      <c r="B10" s="472" t="s">
        <v>1672</v>
      </c>
      <c r="C10" s="449"/>
      <c r="D10" s="450"/>
      <c r="E10" s="331">
        <v>1942</v>
      </c>
    </row>
    <row r="11" spans="1:5" ht="12.75">
      <c r="A11" s="2"/>
      <c r="B11" s="14"/>
      <c r="C11" s="31"/>
      <c r="D11" s="31"/>
      <c r="E11" s="14"/>
    </row>
    <row r="12" spans="1:5" ht="12.75">
      <c r="A12" s="2" t="s">
        <v>569</v>
      </c>
      <c r="B12" s="472" t="s">
        <v>1740</v>
      </c>
      <c r="C12" s="449"/>
      <c r="D12" s="450"/>
      <c r="E12" s="331">
        <v>616</v>
      </c>
    </row>
    <row r="13" spans="1:5" ht="12.75">
      <c r="A13" s="2" t="s">
        <v>569</v>
      </c>
      <c r="B13" s="474" t="s">
        <v>1741</v>
      </c>
      <c r="C13" s="449"/>
      <c r="D13" s="450"/>
      <c r="E13" s="331">
        <v>1</v>
      </c>
    </row>
    <row r="14" spans="1:5" ht="12.75">
      <c r="A14" s="2"/>
      <c r="B14" s="14"/>
      <c r="C14" s="31"/>
      <c r="D14" s="31"/>
      <c r="E14" s="14"/>
    </row>
    <row r="15" spans="1:5" ht="12.75">
      <c r="A15" s="2" t="s">
        <v>569</v>
      </c>
      <c r="B15" s="475" t="s">
        <v>1742</v>
      </c>
      <c r="C15" s="449"/>
      <c r="D15" s="450"/>
      <c r="E15" s="331">
        <v>729</v>
      </c>
    </row>
    <row r="16" spans="1:5" ht="12.75">
      <c r="A16" s="2" t="s">
        <v>569</v>
      </c>
      <c r="B16" s="474" t="s">
        <v>1270</v>
      </c>
      <c r="C16" s="449"/>
      <c r="D16" s="450"/>
      <c r="E16" s="331">
        <v>0</v>
      </c>
    </row>
    <row r="18" spans="1:6" ht="29.25" customHeight="1">
      <c r="A18" s="2" t="s">
        <v>570</v>
      </c>
      <c r="B18" s="465" t="s">
        <v>1271</v>
      </c>
      <c r="C18" s="473"/>
      <c r="D18" s="473"/>
      <c r="E18" s="473"/>
      <c r="F18" s="386"/>
    </row>
    <row r="19" spans="1:6" ht="12.75">
      <c r="A19" s="2"/>
      <c r="B19" s="469"/>
      <c r="C19" s="470"/>
      <c r="D19" s="470"/>
      <c r="E19" s="17" t="s">
        <v>175</v>
      </c>
      <c r="F19" s="17" t="s">
        <v>176</v>
      </c>
    </row>
    <row r="20" spans="1:6" ht="12.75">
      <c r="A20" s="2" t="s">
        <v>570</v>
      </c>
      <c r="B20" s="479" t="s">
        <v>1261</v>
      </c>
      <c r="C20" s="479"/>
      <c r="D20" s="479"/>
      <c r="E20" s="276" t="s">
        <v>1808</v>
      </c>
      <c r="F20" s="276"/>
    </row>
    <row r="21" spans="1:6" ht="12.75">
      <c r="A21" s="2" t="s">
        <v>570</v>
      </c>
      <c r="B21" s="485" t="s">
        <v>1981</v>
      </c>
      <c r="C21" s="485"/>
      <c r="D21" s="485"/>
      <c r="E21" s="42"/>
      <c r="F21" s="31"/>
    </row>
    <row r="22" spans="1:6" ht="12.75">
      <c r="A22" s="2" t="s">
        <v>570</v>
      </c>
      <c r="B22" s="486" t="s">
        <v>90</v>
      </c>
      <c r="C22" s="487"/>
      <c r="D22" s="488"/>
      <c r="E22" s="332">
        <v>2402</v>
      </c>
      <c r="F22" s="31"/>
    </row>
    <row r="23" spans="1:6" ht="12.75">
      <c r="A23" s="2" t="s">
        <v>570</v>
      </c>
      <c r="B23" s="489" t="s">
        <v>1615</v>
      </c>
      <c r="C23" s="489"/>
      <c r="D23" s="489"/>
      <c r="E23" s="332">
        <v>1101</v>
      </c>
      <c r="F23" s="31"/>
    </row>
    <row r="24" spans="1:5" ht="12.75">
      <c r="A24" s="2" t="s">
        <v>570</v>
      </c>
      <c r="B24" s="489" t="s">
        <v>1616</v>
      </c>
      <c r="C24" s="489"/>
      <c r="D24" s="489"/>
      <c r="E24" s="332">
        <v>62</v>
      </c>
    </row>
    <row r="25" spans="1:6" ht="12.75">
      <c r="A25" s="2"/>
      <c r="B25" s="205"/>
      <c r="C25" s="205"/>
      <c r="D25" s="205"/>
      <c r="E25" s="17" t="s">
        <v>175</v>
      </c>
      <c r="F25" s="17" t="s">
        <v>176</v>
      </c>
    </row>
    <row r="26" spans="1:6" ht="12.75">
      <c r="A26" s="2" t="s">
        <v>570</v>
      </c>
      <c r="B26" s="234" t="s">
        <v>91</v>
      </c>
      <c r="C26" s="338"/>
      <c r="D26" s="205"/>
      <c r="E26" s="276"/>
      <c r="F26" s="276" t="s">
        <v>1808</v>
      </c>
    </row>
    <row r="27" spans="1:6" ht="12.75">
      <c r="A27" s="2" t="s">
        <v>570</v>
      </c>
      <c r="B27" s="495" t="s">
        <v>92</v>
      </c>
      <c r="C27" s="496"/>
      <c r="D27" s="205"/>
      <c r="E27" s="276"/>
      <c r="F27" s="276"/>
    </row>
    <row r="28" spans="1:6" ht="12.75">
      <c r="A28" s="2" t="s">
        <v>570</v>
      </c>
      <c r="B28" s="495" t="s">
        <v>93</v>
      </c>
      <c r="C28" s="496"/>
      <c r="D28" s="205"/>
      <c r="E28" s="276"/>
      <c r="F28" s="276"/>
    </row>
    <row r="29" spans="2:4" ht="12.75">
      <c r="B29" s="6"/>
      <c r="C29" s="6"/>
      <c r="D29" s="6"/>
    </row>
    <row r="30" spans="1:2" ht="15.75">
      <c r="A30" s="48"/>
      <c r="B30" s="24" t="s">
        <v>1262</v>
      </c>
    </row>
    <row r="31" spans="1:2" ht="12.75">
      <c r="A31" s="2" t="s">
        <v>568</v>
      </c>
      <c r="B31" s="3" t="s">
        <v>1589</v>
      </c>
    </row>
    <row r="32" spans="1:6" ht="25.5" customHeight="1">
      <c r="A32" s="2" t="s">
        <v>568</v>
      </c>
      <c r="B32" s="406" t="s">
        <v>95</v>
      </c>
      <c r="C32" s="406"/>
      <c r="D32" s="276"/>
      <c r="F32" s="31"/>
    </row>
    <row r="33" spans="1:6" ht="24.75" customHeight="1">
      <c r="A33" s="2" t="s">
        <v>568</v>
      </c>
      <c r="B33" s="456" t="s">
        <v>1617</v>
      </c>
      <c r="C33" s="406"/>
      <c r="D33" s="276" t="s">
        <v>1808</v>
      </c>
      <c r="F33" s="31"/>
    </row>
    <row r="34" spans="1:6" ht="12.75" customHeight="1">
      <c r="A34" s="2" t="s">
        <v>568</v>
      </c>
      <c r="B34" s="406" t="s">
        <v>1618</v>
      </c>
      <c r="C34" s="406"/>
      <c r="D34" s="276"/>
      <c r="F34" s="31"/>
    </row>
    <row r="36" spans="1:6" ht="29.25" customHeight="1">
      <c r="A36" s="2" t="s">
        <v>571</v>
      </c>
      <c r="B36" s="490" t="s">
        <v>245</v>
      </c>
      <c r="C36" s="490"/>
      <c r="D36" s="490"/>
      <c r="E36" s="490"/>
      <c r="F36" s="386"/>
    </row>
    <row r="37" spans="1:6" ht="12.75">
      <c r="A37" s="2" t="s">
        <v>571</v>
      </c>
      <c r="B37" s="406" t="s">
        <v>1619</v>
      </c>
      <c r="C37" s="406"/>
      <c r="D37" s="276"/>
      <c r="F37" s="31"/>
    </row>
    <row r="38" spans="1:6" ht="12.75">
      <c r="A38" s="2" t="s">
        <v>571</v>
      </c>
      <c r="B38" s="456" t="s">
        <v>1620</v>
      </c>
      <c r="C38" s="406"/>
      <c r="D38" s="276" t="s">
        <v>1808</v>
      </c>
      <c r="F38" s="31"/>
    </row>
    <row r="39" spans="1:6" ht="12.75" customHeight="1">
      <c r="A39" s="2" t="s">
        <v>571</v>
      </c>
      <c r="B39" s="406" t="s">
        <v>1621</v>
      </c>
      <c r="C39" s="406"/>
      <c r="D39" s="276"/>
      <c r="F39" s="31"/>
    </row>
    <row r="41" spans="1:6" ht="54.75" customHeight="1">
      <c r="A41" s="2" t="s">
        <v>572</v>
      </c>
      <c r="B41" s="465" t="s">
        <v>1736</v>
      </c>
      <c r="C41" s="466"/>
      <c r="D41" s="466"/>
      <c r="E41" s="466"/>
      <c r="F41" s="386"/>
    </row>
    <row r="42" spans="1:6" ht="24">
      <c r="A42" s="2" t="s">
        <v>572</v>
      </c>
      <c r="B42" s="148"/>
      <c r="C42" s="32" t="s">
        <v>246</v>
      </c>
      <c r="D42" s="33" t="s">
        <v>247</v>
      </c>
      <c r="E42" s="49"/>
      <c r="F42" s="34"/>
    </row>
    <row r="43" spans="1:6" ht="12.75">
      <c r="A43" s="2" t="s">
        <v>572</v>
      </c>
      <c r="B43" s="47" t="s">
        <v>248</v>
      </c>
      <c r="C43" s="319"/>
      <c r="D43" s="320"/>
      <c r="F43" s="34"/>
    </row>
    <row r="44" spans="1:6" ht="12.75">
      <c r="A44" s="2" t="s">
        <v>572</v>
      </c>
      <c r="B44" s="47" t="s">
        <v>249</v>
      </c>
      <c r="C44" s="319"/>
      <c r="D44" s="320">
        <v>4</v>
      </c>
      <c r="F44" s="34"/>
    </row>
    <row r="45" spans="1:6" ht="12.75">
      <c r="A45" s="2" t="s">
        <v>572</v>
      </c>
      <c r="B45" s="47" t="s">
        <v>250</v>
      </c>
      <c r="C45" s="319"/>
      <c r="D45" s="320">
        <v>4</v>
      </c>
      <c r="F45" s="34"/>
    </row>
    <row r="46" spans="1:6" ht="12.75">
      <c r="A46" s="2" t="s">
        <v>572</v>
      </c>
      <c r="B46" s="47" t="s">
        <v>251</v>
      </c>
      <c r="C46" s="319"/>
      <c r="D46" s="320">
        <v>4</v>
      </c>
      <c r="F46" s="34"/>
    </row>
    <row r="47" spans="1:6" ht="25.5">
      <c r="A47" s="2" t="s">
        <v>572</v>
      </c>
      <c r="B47" s="50" t="s">
        <v>1590</v>
      </c>
      <c r="C47" s="319"/>
      <c r="D47" s="320">
        <v>3</v>
      </c>
      <c r="F47" s="34"/>
    </row>
    <row r="48" spans="1:6" ht="12.75">
      <c r="A48" s="2" t="s">
        <v>572</v>
      </c>
      <c r="B48" s="47" t="s">
        <v>252</v>
      </c>
      <c r="C48" s="319"/>
      <c r="D48" s="320">
        <v>4</v>
      </c>
      <c r="F48" s="34"/>
    </row>
    <row r="49" spans="1:6" ht="12.75">
      <c r="A49" s="2" t="s">
        <v>572</v>
      </c>
      <c r="B49" s="47" t="s">
        <v>253</v>
      </c>
      <c r="C49" s="319"/>
      <c r="D49" s="320">
        <v>4</v>
      </c>
      <c r="F49" s="34"/>
    </row>
    <row r="50" spans="1:6" ht="12.75">
      <c r="A50" s="2" t="s">
        <v>572</v>
      </c>
      <c r="B50" s="47" t="s">
        <v>254</v>
      </c>
      <c r="C50" s="319"/>
      <c r="D50" s="320"/>
      <c r="F50" s="34"/>
    </row>
    <row r="51" spans="1:6" ht="12.75">
      <c r="A51" s="2" t="s">
        <v>572</v>
      </c>
      <c r="B51" s="47" t="s">
        <v>255</v>
      </c>
      <c r="C51" s="319"/>
      <c r="D51" s="320"/>
      <c r="F51" s="34"/>
    </row>
    <row r="52" spans="1:6" ht="12.75">
      <c r="A52" s="2" t="s">
        <v>572</v>
      </c>
      <c r="B52" s="358" t="s">
        <v>1884</v>
      </c>
      <c r="C52" s="319"/>
      <c r="D52" s="320"/>
      <c r="F52" s="34"/>
    </row>
    <row r="53" spans="1:6" ht="12.75">
      <c r="A53" s="2" t="s">
        <v>572</v>
      </c>
      <c r="B53" s="358" t="s">
        <v>1885</v>
      </c>
      <c r="C53" s="319"/>
      <c r="D53" s="320"/>
      <c r="F53" s="34"/>
    </row>
    <row r="54" spans="1:6" ht="12.75">
      <c r="A54" s="2" t="s">
        <v>572</v>
      </c>
      <c r="B54" s="47" t="s">
        <v>1737</v>
      </c>
      <c r="C54" s="319"/>
      <c r="D54" s="320"/>
      <c r="F54" s="34"/>
    </row>
    <row r="55" spans="1:6" ht="12.75">
      <c r="A55" s="2"/>
      <c r="B55" s="256" t="s">
        <v>1918</v>
      </c>
      <c r="C55" s="458"/>
      <c r="D55" s="459"/>
      <c r="F55" s="34"/>
    </row>
    <row r="57" ht="15.75">
      <c r="B57" s="36" t="s">
        <v>256</v>
      </c>
    </row>
    <row r="58" spans="1:6" ht="38.25" customHeight="1">
      <c r="A58" s="2" t="s">
        <v>573</v>
      </c>
      <c r="B58" s="467" t="s">
        <v>566</v>
      </c>
      <c r="C58" s="468"/>
      <c r="D58" s="468"/>
      <c r="E58" s="468"/>
      <c r="F58" s="386"/>
    </row>
    <row r="59" spans="1:6" ht="12.75">
      <c r="A59" s="2" t="s">
        <v>573</v>
      </c>
      <c r="B59" s="478" t="s">
        <v>567</v>
      </c>
      <c r="C59" s="479"/>
      <c r="D59" s="479"/>
      <c r="E59" s="259"/>
      <c r="F59" s="31"/>
    </row>
    <row r="60" spans="1:6" ht="12.75">
      <c r="A60" s="2" t="s">
        <v>573</v>
      </c>
      <c r="B60" s="438" t="s">
        <v>1315</v>
      </c>
      <c r="C60" s="406"/>
      <c r="D60" s="406"/>
      <c r="E60" s="111"/>
      <c r="F60" s="31"/>
    </row>
    <row r="61" spans="1:6" ht="12.75">
      <c r="A61" s="2" t="s">
        <v>573</v>
      </c>
      <c r="B61" s="438" t="s">
        <v>1317</v>
      </c>
      <c r="C61" s="438"/>
      <c r="D61" s="438"/>
      <c r="E61" s="259"/>
      <c r="F61" s="31"/>
    </row>
    <row r="62" spans="1:6" ht="12.75">
      <c r="A62" s="2" t="s">
        <v>573</v>
      </c>
      <c r="B62" s="438" t="s">
        <v>1316</v>
      </c>
      <c r="C62" s="438"/>
      <c r="D62" s="438"/>
      <c r="E62" s="259"/>
      <c r="F62" s="31"/>
    </row>
    <row r="63" spans="1:6" ht="12.75">
      <c r="A63" s="2" t="s">
        <v>573</v>
      </c>
      <c r="B63" s="480" t="s">
        <v>1301</v>
      </c>
      <c r="C63" s="481"/>
      <c r="D63" s="481"/>
      <c r="E63" s="259"/>
      <c r="F63" s="31"/>
    </row>
    <row r="64" spans="2:5" ht="12.75">
      <c r="B64" s="464"/>
      <c r="C64" s="379"/>
      <c r="D64" s="379"/>
      <c r="E64" s="46"/>
    </row>
    <row r="65" spans="2:4" ht="12.75">
      <c r="B65" s="6"/>
      <c r="C65" s="6"/>
      <c r="D65" s="6"/>
    </row>
    <row r="66" spans="1:6" ht="28.5" customHeight="1">
      <c r="A66" s="2" t="s">
        <v>574</v>
      </c>
      <c r="B66" s="498" t="s">
        <v>257</v>
      </c>
      <c r="C66" s="498"/>
      <c r="D66" s="498"/>
      <c r="E66" s="498"/>
      <c r="F66" s="499"/>
    </row>
    <row r="67" spans="1:6" ht="25.5">
      <c r="A67" s="2" t="s">
        <v>574</v>
      </c>
      <c r="B67" s="84"/>
      <c r="C67" s="37" t="s">
        <v>258</v>
      </c>
      <c r="D67" s="37" t="s">
        <v>259</v>
      </c>
      <c r="E67" s="37" t="s">
        <v>260</v>
      </c>
      <c r="F67" s="37" t="s">
        <v>261</v>
      </c>
    </row>
    <row r="68" spans="1:6" ht="15">
      <c r="A68" s="2" t="s">
        <v>574</v>
      </c>
      <c r="B68" s="71" t="s">
        <v>262</v>
      </c>
      <c r="C68" s="72"/>
      <c r="D68" s="72"/>
      <c r="E68" s="72"/>
      <c r="F68" s="73"/>
    </row>
    <row r="69" spans="1:6" ht="25.5">
      <c r="A69" s="2" t="s">
        <v>574</v>
      </c>
      <c r="B69" s="233" t="s">
        <v>94</v>
      </c>
      <c r="C69" s="276" t="s">
        <v>1808</v>
      </c>
      <c r="D69" s="276"/>
      <c r="E69" s="276"/>
      <c r="F69" s="276"/>
    </row>
    <row r="70" spans="1:6" ht="12.75">
      <c r="A70" s="2" t="s">
        <v>574</v>
      </c>
      <c r="B70" s="38" t="s">
        <v>263</v>
      </c>
      <c r="C70" s="276" t="s">
        <v>1808</v>
      </c>
      <c r="D70" s="276"/>
      <c r="E70" s="276"/>
      <c r="F70" s="276"/>
    </row>
    <row r="71" spans="1:6" ht="12.75">
      <c r="A71" s="2" t="s">
        <v>574</v>
      </c>
      <c r="B71" s="234" t="s">
        <v>1229</v>
      </c>
      <c r="C71" s="276" t="s">
        <v>1808</v>
      </c>
      <c r="D71" s="276"/>
      <c r="E71" s="276"/>
      <c r="F71" s="276"/>
    </row>
    <row r="72" spans="1:6" ht="12.75">
      <c r="A72" s="2" t="s">
        <v>574</v>
      </c>
      <c r="B72" s="38" t="s">
        <v>265</v>
      </c>
      <c r="C72" s="276" t="s">
        <v>1808</v>
      </c>
      <c r="D72" s="276"/>
      <c r="E72" s="276"/>
      <c r="F72" s="276"/>
    </row>
    <row r="73" spans="1:6" ht="12.75">
      <c r="A73" s="2" t="s">
        <v>574</v>
      </c>
      <c r="B73" s="235" t="s">
        <v>1230</v>
      </c>
      <c r="C73" s="276" t="s">
        <v>1808</v>
      </c>
      <c r="D73" s="276"/>
      <c r="E73" s="276"/>
      <c r="F73" s="276"/>
    </row>
    <row r="74" spans="1:6" ht="12.75">
      <c r="A74" s="2" t="s">
        <v>574</v>
      </c>
      <c r="B74" s="38" t="s">
        <v>264</v>
      </c>
      <c r="C74" s="276" t="s">
        <v>1808</v>
      </c>
      <c r="D74" s="276"/>
      <c r="E74" s="276"/>
      <c r="F74" s="276"/>
    </row>
    <row r="75" spans="1:6" ht="15">
      <c r="A75" s="2" t="s">
        <v>574</v>
      </c>
      <c r="B75" s="71" t="s">
        <v>266</v>
      </c>
      <c r="C75" s="72"/>
      <c r="D75" s="72"/>
      <c r="E75" s="72"/>
      <c r="F75" s="73"/>
    </row>
    <row r="76" spans="1:6" ht="12.75">
      <c r="A76" s="2" t="s">
        <v>574</v>
      </c>
      <c r="B76" s="38" t="s">
        <v>267</v>
      </c>
      <c r="C76" s="276"/>
      <c r="D76" s="276"/>
      <c r="E76" s="276" t="s">
        <v>1808</v>
      </c>
      <c r="F76" s="276"/>
    </row>
    <row r="77" spans="1:6" ht="12.75">
      <c r="A77" s="2" t="s">
        <v>574</v>
      </c>
      <c r="B77" s="38" t="s">
        <v>268</v>
      </c>
      <c r="C77" s="276" t="s">
        <v>1808</v>
      </c>
      <c r="D77" s="276"/>
      <c r="E77" s="276"/>
      <c r="F77" s="276"/>
    </row>
    <row r="78" spans="1:6" ht="12.75">
      <c r="A78" s="2" t="s">
        <v>574</v>
      </c>
      <c r="B78" s="38" t="s">
        <v>269</v>
      </c>
      <c r="C78" s="276" t="s">
        <v>1808</v>
      </c>
      <c r="D78" s="276"/>
      <c r="E78" s="276"/>
      <c r="F78" s="276"/>
    </row>
    <row r="79" spans="1:6" ht="12.75">
      <c r="A79" s="2" t="s">
        <v>574</v>
      </c>
      <c r="B79" s="38" t="s">
        <v>270</v>
      </c>
      <c r="C79" s="276" t="s">
        <v>1808</v>
      </c>
      <c r="D79" s="276"/>
      <c r="E79" s="276"/>
      <c r="F79" s="276"/>
    </row>
    <row r="80" spans="1:6" ht="12.75">
      <c r="A80" s="2" t="s">
        <v>574</v>
      </c>
      <c r="B80" s="235" t="s">
        <v>1231</v>
      </c>
      <c r="C80" s="276"/>
      <c r="D80" s="276"/>
      <c r="E80" s="276" t="s">
        <v>1808</v>
      </c>
      <c r="F80" s="276"/>
    </row>
    <row r="81" spans="1:6" ht="12.75">
      <c r="A81" s="2" t="s">
        <v>574</v>
      </c>
      <c r="B81" s="38" t="s">
        <v>271</v>
      </c>
      <c r="C81" s="276"/>
      <c r="D81" s="276"/>
      <c r="E81" s="276" t="s">
        <v>1808</v>
      </c>
      <c r="F81" s="276"/>
    </row>
    <row r="82" spans="1:6" ht="12.75">
      <c r="A82" s="2" t="s">
        <v>574</v>
      </c>
      <c r="B82" s="38" t="s">
        <v>272</v>
      </c>
      <c r="C82" s="276"/>
      <c r="D82" s="276"/>
      <c r="E82" s="276" t="s">
        <v>1808</v>
      </c>
      <c r="F82" s="276"/>
    </row>
    <row r="83" spans="1:6" ht="12.75">
      <c r="A83" s="2" t="s">
        <v>574</v>
      </c>
      <c r="B83" s="38" t="s">
        <v>273</v>
      </c>
      <c r="C83" s="276" t="s">
        <v>1808</v>
      </c>
      <c r="D83" s="276"/>
      <c r="E83" s="276"/>
      <c r="F83" s="276"/>
    </row>
    <row r="84" spans="1:6" ht="25.5">
      <c r="A84" s="2" t="s">
        <v>574</v>
      </c>
      <c r="B84" s="51" t="s">
        <v>274</v>
      </c>
      <c r="C84" s="276"/>
      <c r="D84" s="276"/>
      <c r="E84" s="276"/>
      <c r="F84" s="276" t="s">
        <v>1808</v>
      </c>
    </row>
    <row r="85" spans="1:6" ht="12.75">
      <c r="A85" s="2" t="s">
        <v>574</v>
      </c>
      <c r="B85" s="235" t="s">
        <v>1232</v>
      </c>
      <c r="C85" s="276"/>
      <c r="D85" s="276"/>
      <c r="E85" s="276" t="s">
        <v>1808</v>
      </c>
      <c r="F85" s="276"/>
    </row>
    <row r="86" spans="1:6" ht="12.75">
      <c r="A86" s="2" t="s">
        <v>574</v>
      </c>
      <c r="B86" s="38" t="s">
        <v>276</v>
      </c>
      <c r="C86" s="276"/>
      <c r="D86" s="276"/>
      <c r="E86" s="276" t="s">
        <v>1808</v>
      </c>
      <c r="F86" s="276"/>
    </row>
    <row r="87" spans="1:6" ht="12.75">
      <c r="A87" s="2" t="s">
        <v>574</v>
      </c>
      <c r="B87" s="38" t="s">
        <v>277</v>
      </c>
      <c r="C87" s="276"/>
      <c r="D87" s="276"/>
      <c r="E87" s="276" t="s">
        <v>1808</v>
      </c>
      <c r="F87" s="276"/>
    </row>
    <row r="88" spans="1:6" ht="12.75">
      <c r="A88" s="2" t="s">
        <v>574</v>
      </c>
      <c r="B88" s="38" t="s">
        <v>1233</v>
      </c>
      <c r="C88" s="276"/>
      <c r="D88" s="276"/>
      <c r="E88" s="276"/>
      <c r="F88" s="276" t="s">
        <v>1808</v>
      </c>
    </row>
    <row r="90" ht="15.75">
      <c r="B90" s="24" t="s">
        <v>278</v>
      </c>
    </row>
    <row r="91" spans="1:8" ht="12.75">
      <c r="A91" s="2" t="s">
        <v>575</v>
      </c>
      <c r="B91" s="57" t="s">
        <v>591</v>
      </c>
      <c r="C91" s="53"/>
      <c r="D91" s="53"/>
      <c r="E91" s="53"/>
      <c r="F91" s="53"/>
      <c r="G91" s="53"/>
      <c r="H91" s="54"/>
    </row>
    <row r="92" spans="1:8" ht="12.75">
      <c r="A92" s="2"/>
      <c r="B92" s="469"/>
      <c r="C92" s="470"/>
      <c r="D92" s="470"/>
      <c r="E92" s="35" t="s">
        <v>175</v>
      </c>
      <c r="F92" s="35" t="s">
        <v>176</v>
      </c>
      <c r="G92" s="53"/>
      <c r="H92" s="54"/>
    </row>
    <row r="93" spans="1:8" ht="39.75" customHeight="1">
      <c r="A93" s="2" t="s">
        <v>592</v>
      </c>
      <c r="B93" s="501" t="s">
        <v>1234</v>
      </c>
      <c r="C93" s="408"/>
      <c r="D93" s="409"/>
      <c r="E93" s="259" t="s">
        <v>1808</v>
      </c>
      <c r="F93" s="259"/>
      <c r="G93" s="53"/>
      <c r="H93" s="53"/>
    </row>
    <row r="94" spans="1:8" ht="26.25" customHeight="1">
      <c r="A94" s="2" t="s">
        <v>592</v>
      </c>
      <c r="B94" s="460" t="s">
        <v>1980</v>
      </c>
      <c r="C94" s="461"/>
      <c r="D94" s="461"/>
      <c r="E94" s="461"/>
      <c r="F94" s="462"/>
      <c r="G94" s="55"/>
      <c r="H94" s="55"/>
    </row>
    <row r="95" spans="1:8" ht="12.75" customHeight="1">
      <c r="A95" s="2" t="s">
        <v>592</v>
      </c>
      <c r="B95" s="156"/>
      <c r="C95" s="502" t="s">
        <v>959</v>
      </c>
      <c r="D95" s="503"/>
      <c r="E95" s="503"/>
      <c r="F95" s="503"/>
      <c r="G95" s="504"/>
      <c r="H95" s="55"/>
    </row>
    <row r="96" spans="1:8" ht="24" customHeight="1">
      <c r="A96" s="2" t="s">
        <v>592</v>
      </c>
      <c r="B96" s="157"/>
      <c r="C96" s="60" t="s">
        <v>1619</v>
      </c>
      <c r="D96" s="60" t="s">
        <v>1620</v>
      </c>
      <c r="E96" s="60" t="s">
        <v>1853</v>
      </c>
      <c r="F96" s="81" t="s">
        <v>1854</v>
      </c>
      <c r="G96" s="158" t="s">
        <v>960</v>
      </c>
      <c r="H96" s="55"/>
    </row>
    <row r="97" spans="1:8" ht="12.75" customHeight="1">
      <c r="A97" s="2" t="s">
        <v>592</v>
      </c>
      <c r="B97" s="236" t="s">
        <v>424</v>
      </c>
      <c r="C97" s="260" t="s">
        <v>1808</v>
      </c>
      <c r="D97" s="260"/>
      <c r="E97" s="260"/>
      <c r="F97" s="260"/>
      <c r="G97" s="261"/>
      <c r="H97" s="55"/>
    </row>
    <row r="98" spans="1:8" ht="12.75" customHeight="1">
      <c r="A98" s="2" t="s">
        <v>592</v>
      </c>
      <c r="B98" s="236" t="s">
        <v>415</v>
      </c>
      <c r="C98" s="260"/>
      <c r="D98" s="260"/>
      <c r="E98" s="260"/>
      <c r="F98" s="260"/>
      <c r="G98" s="261"/>
      <c r="H98" s="55"/>
    </row>
    <row r="99" spans="1:8" ht="12.75" customHeight="1">
      <c r="A99" s="2" t="s">
        <v>592</v>
      </c>
      <c r="B99" s="236" t="s">
        <v>425</v>
      </c>
      <c r="C99" s="260"/>
      <c r="D99" s="260"/>
      <c r="E99" s="260"/>
      <c r="F99" s="260"/>
      <c r="G99" s="261"/>
      <c r="H99" s="55"/>
    </row>
    <row r="100" spans="1:8" ht="25.5">
      <c r="A100" s="2" t="s">
        <v>592</v>
      </c>
      <c r="B100" s="61" t="s">
        <v>426</v>
      </c>
      <c r="C100" s="260"/>
      <c r="D100" s="260"/>
      <c r="E100" s="260"/>
      <c r="F100" s="260"/>
      <c r="G100" s="261"/>
      <c r="H100" s="55"/>
    </row>
    <row r="101" spans="1:8" ht="12.75">
      <c r="A101" s="2" t="s">
        <v>592</v>
      </c>
      <c r="B101" s="160" t="s">
        <v>416</v>
      </c>
      <c r="C101" s="260"/>
      <c r="D101" s="260"/>
      <c r="E101" s="260"/>
      <c r="F101" s="260" t="s">
        <v>1808</v>
      </c>
      <c r="G101" s="261"/>
      <c r="H101" s="55"/>
    </row>
    <row r="102" spans="1:8" ht="12.75" customHeight="1">
      <c r="A102" s="2"/>
      <c r="B102" s="64"/>
      <c r="C102" s="65"/>
      <c r="D102" s="65"/>
      <c r="E102" s="65"/>
      <c r="F102" s="65"/>
      <c r="G102" s="63"/>
      <c r="H102" s="55"/>
    </row>
    <row r="103" spans="1:8" ht="39" customHeight="1">
      <c r="A103" s="206" t="s">
        <v>174</v>
      </c>
      <c r="B103" s="505" t="s">
        <v>1892</v>
      </c>
      <c r="C103" s="505"/>
      <c r="D103" s="505"/>
      <c r="E103" s="505"/>
      <c r="F103" s="505"/>
      <c r="G103" s="505"/>
      <c r="H103" s="55"/>
    </row>
    <row r="104" spans="1:8" s="196" customFormat="1" ht="18.75" customHeight="1">
      <c r="A104" s="206" t="s">
        <v>174</v>
      </c>
      <c r="B104" s="497" t="s">
        <v>417</v>
      </c>
      <c r="C104" s="497"/>
      <c r="D104" s="497"/>
      <c r="E104" s="263"/>
      <c r="F104" s="198"/>
      <c r="G104" s="63"/>
      <c r="H104" s="55"/>
    </row>
    <row r="105" spans="1:8" s="196" customFormat="1" ht="12.75" customHeight="1">
      <c r="A105" s="206" t="s">
        <v>174</v>
      </c>
      <c r="B105" s="497" t="s">
        <v>427</v>
      </c>
      <c r="C105" s="497"/>
      <c r="D105" s="497"/>
      <c r="E105" s="263"/>
      <c r="F105" s="198"/>
      <c r="G105" s="63"/>
      <c r="H105" s="55"/>
    </row>
    <row r="106" spans="1:8" s="196" customFormat="1" ht="12.75" customHeight="1">
      <c r="A106" s="206" t="s">
        <v>174</v>
      </c>
      <c r="B106" s="497" t="s">
        <v>418</v>
      </c>
      <c r="C106" s="497"/>
      <c r="D106" s="497"/>
      <c r="E106" s="263" t="s">
        <v>1808</v>
      </c>
      <c r="F106" s="198"/>
      <c r="G106" s="63"/>
      <c r="H106" s="55"/>
    </row>
    <row r="107" spans="1:8" s="196" customFormat="1" ht="12.75" customHeight="1">
      <c r="A107" s="30"/>
      <c r="B107" s="197"/>
      <c r="C107" s="198"/>
      <c r="D107" s="198"/>
      <c r="E107" s="198"/>
      <c r="F107" s="198"/>
      <c r="G107" s="63"/>
      <c r="H107" s="55"/>
    </row>
    <row r="108" spans="1:8" s="196" customFormat="1" ht="12.75" customHeight="1">
      <c r="A108" s="206" t="s">
        <v>131</v>
      </c>
      <c r="B108" s="508" t="s">
        <v>428</v>
      </c>
      <c r="C108" s="508"/>
      <c r="D108" s="508"/>
      <c r="E108" s="508"/>
      <c r="F108" s="508"/>
      <c r="G108" s="508"/>
      <c r="H108" s="55"/>
    </row>
    <row r="109" spans="1:8" s="196" customFormat="1" ht="13.5" customHeight="1">
      <c r="A109" s="206" t="s">
        <v>131</v>
      </c>
      <c r="B109" s="223" t="s">
        <v>429</v>
      </c>
      <c r="C109" s="223"/>
      <c r="D109" s="223"/>
      <c r="E109" s="263" t="s">
        <v>1808</v>
      </c>
      <c r="F109" s="198"/>
      <c r="G109" s="63"/>
      <c r="H109" s="55"/>
    </row>
    <row r="110" spans="1:8" s="196" customFormat="1" ht="12.75" customHeight="1">
      <c r="A110" s="206" t="s">
        <v>131</v>
      </c>
      <c r="B110" s="223" t="s">
        <v>430</v>
      </c>
      <c r="C110" s="223"/>
      <c r="D110" s="223"/>
      <c r="E110" s="263"/>
      <c r="F110" s="198"/>
      <c r="G110" s="63"/>
      <c r="H110" s="55"/>
    </row>
    <row r="111" spans="1:8" s="196" customFormat="1" ht="15.75" customHeight="1">
      <c r="A111" s="206" t="s">
        <v>131</v>
      </c>
      <c r="B111" s="224" t="s">
        <v>431</v>
      </c>
      <c r="C111" s="237"/>
      <c r="D111" s="237"/>
      <c r="E111" s="263"/>
      <c r="F111" s="198"/>
      <c r="G111" s="63"/>
      <c r="H111" s="55"/>
    </row>
    <row r="112" spans="1:8" s="196" customFormat="1" ht="12.75" customHeight="1">
      <c r="A112" s="206" t="s">
        <v>131</v>
      </c>
      <c r="B112" s="238" t="s">
        <v>432</v>
      </c>
      <c r="C112" s="237"/>
      <c r="D112" s="237"/>
      <c r="E112" s="263"/>
      <c r="F112" s="198"/>
      <c r="G112" s="63"/>
      <c r="H112" s="55"/>
    </row>
    <row r="113" spans="1:8" s="196" customFormat="1" ht="28.5" customHeight="1">
      <c r="A113" s="206" t="s">
        <v>131</v>
      </c>
      <c r="B113" s="239" t="s">
        <v>433</v>
      </c>
      <c r="C113" s="237"/>
      <c r="D113" s="237"/>
      <c r="E113" s="263"/>
      <c r="F113" s="198"/>
      <c r="G113" s="63"/>
      <c r="H113" s="55"/>
    </row>
    <row r="114" spans="1:8" s="196" customFormat="1" ht="15" customHeight="1">
      <c r="A114" s="206" t="s">
        <v>131</v>
      </c>
      <c r="B114" s="238" t="s">
        <v>434</v>
      </c>
      <c r="C114" s="237"/>
      <c r="D114" s="237"/>
      <c r="E114" s="263"/>
      <c r="F114" s="198"/>
      <c r="G114" s="63"/>
      <c r="H114" s="55"/>
    </row>
    <row r="115" spans="1:8" s="196" customFormat="1" ht="12.75" customHeight="1">
      <c r="A115" s="206" t="s">
        <v>131</v>
      </c>
      <c r="B115" s="244" t="s">
        <v>1398</v>
      </c>
      <c r="C115" s="237"/>
      <c r="D115" s="237"/>
      <c r="E115" s="263"/>
      <c r="F115" s="198"/>
      <c r="G115" s="63"/>
      <c r="H115" s="55"/>
    </row>
    <row r="116" spans="1:8" s="196" customFormat="1" ht="12.75" customHeight="1">
      <c r="A116" s="2"/>
      <c r="B116" s="64"/>
      <c r="C116" s="65"/>
      <c r="D116" s="65"/>
      <c r="E116" s="65"/>
      <c r="F116" s="65"/>
      <c r="G116" s="55"/>
      <c r="H116" s="55"/>
    </row>
    <row r="117" spans="1:8" ht="12.75">
      <c r="A117" s="2" t="s">
        <v>132</v>
      </c>
      <c r="B117" s="463" t="s">
        <v>435</v>
      </c>
      <c r="C117" s="443"/>
      <c r="D117" s="443"/>
      <c r="E117" s="443"/>
      <c r="F117" s="443"/>
      <c r="G117" s="55"/>
      <c r="H117" s="55"/>
    </row>
    <row r="118" spans="1:8" ht="12.75">
      <c r="A118" s="2" t="s">
        <v>132</v>
      </c>
      <c r="B118" s="66"/>
      <c r="C118" s="35" t="s">
        <v>175</v>
      </c>
      <c r="D118" s="35" t="s">
        <v>176</v>
      </c>
      <c r="E118" s="14"/>
      <c r="F118" s="14"/>
      <c r="G118" s="55"/>
      <c r="H118" s="55"/>
    </row>
    <row r="119" spans="1:8" ht="12.75">
      <c r="A119" s="2"/>
      <c r="B119" s="62"/>
      <c r="C119" s="261" t="s">
        <v>1808</v>
      </c>
      <c r="D119" s="261"/>
      <c r="E119" s="55"/>
      <c r="F119" s="55"/>
      <c r="G119" s="55"/>
      <c r="H119" s="55"/>
    </row>
    <row r="120" spans="3:8" ht="12.75">
      <c r="C120" s="58"/>
      <c r="D120" s="59"/>
      <c r="E120" s="34"/>
      <c r="F120" s="31"/>
      <c r="H120" s="55"/>
    </row>
    <row r="121" spans="1:6" ht="29.25" customHeight="1">
      <c r="A121" s="2" t="s">
        <v>419</v>
      </c>
      <c r="B121" s="456" t="s">
        <v>423</v>
      </c>
      <c r="C121" s="406"/>
      <c r="D121" s="406"/>
      <c r="E121" s="279">
        <v>39142</v>
      </c>
      <c r="F121" s="31"/>
    </row>
    <row r="122" spans="1:6" ht="27" customHeight="1">
      <c r="A122" s="2" t="s">
        <v>419</v>
      </c>
      <c r="B122" s="406" t="s">
        <v>422</v>
      </c>
      <c r="C122" s="406"/>
      <c r="D122" s="406"/>
      <c r="E122" s="279">
        <v>39508</v>
      </c>
      <c r="F122" s="31"/>
    </row>
    <row r="123" spans="1:6" ht="27" customHeight="1">
      <c r="A123" s="2"/>
      <c r="B123" s="52"/>
      <c r="C123" s="52"/>
      <c r="D123" s="52"/>
      <c r="E123" s="68"/>
      <c r="F123" s="31"/>
    </row>
    <row r="124" spans="1:6" ht="13.5" customHeight="1">
      <c r="A124" s="2" t="s">
        <v>421</v>
      </c>
      <c r="B124" s="431" t="s">
        <v>1475</v>
      </c>
      <c r="C124" s="476"/>
      <c r="D124" s="476"/>
      <c r="E124" s="476"/>
      <c r="F124" s="515"/>
    </row>
    <row r="125" spans="1:6" ht="27" customHeight="1">
      <c r="A125" s="2" t="s">
        <v>421</v>
      </c>
      <c r="B125" s="482"/>
      <c r="C125" s="483"/>
      <c r="D125" s="483"/>
      <c r="E125" s="483"/>
      <c r="F125" s="484"/>
    </row>
    <row r="126" spans="1:6" ht="12.75">
      <c r="A126" s="2"/>
      <c r="B126" s="139"/>
      <c r="C126" s="139"/>
      <c r="D126" s="139"/>
      <c r="E126" s="68"/>
      <c r="F126" s="31"/>
    </row>
    <row r="127" spans="1:7" ht="15.75" customHeight="1">
      <c r="A127" s="203" t="s">
        <v>436</v>
      </c>
      <c r="B127" s="491" t="s">
        <v>437</v>
      </c>
      <c r="C127" s="492"/>
      <c r="D127" s="492"/>
      <c r="E127" s="492"/>
      <c r="F127" s="492"/>
      <c r="G127" s="55"/>
    </row>
    <row r="128" spans="1:8" ht="17.25" customHeight="1">
      <c r="A128" s="203" t="s">
        <v>436</v>
      </c>
      <c r="B128" s="264" t="s">
        <v>438</v>
      </c>
      <c r="C128" s="263"/>
      <c r="D128" s="197"/>
      <c r="E128" s="197"/>
      <c r="F128" s="54"/>
      <c r="G128" s="55"/>
      <c r="H128" s="55"/>
    </row>
    <row r="129" spans="1:8" ht="12.75">
      <c r="A129" s="203" t="s">
        <v>436</v>
      </c>
      <c r="B129" s="264" t="s">
        <v>590</v>
      </c>
      <c r="C129" s="263"/>
      <c r="D129" s="197"/>
      <c r="E129" s="197"/>
      <c r="F129" s="54"/>
      <c r="H129" s="55"/>
    </row>
    <row r="130" spans="1:6" ht="12.75">
      <c r="A130" s="203" t="s">
        <v>436</v>
      </c>
      <c r="B130" s="264" t="s">
        <v>420</v>
      </c>
      <c r="C130" s="263"/>
      <c r="D130" s="197"/>
      <c r="E130" s="197"/>
      <c r="F130" s="54"/>
    </row>
    <row r="131" spans="1:6" ht="12.75">
      <c r="A131" s="203" t="s">
        <v>436</v>
      </c>
      <c r="B131" s="264" t="s">
        <v>439</v>
      </c>
      <c r="C131" s="263" t="s">
        <v>1808</v>
      </c>
      <c r="D131" s="197"/>
      <c r="E131" s="197"/>
      <c r="F131" s="54"/>
    </row>
    <row r="132" spans="1:6" ht="12.75">
      <c r="A132" s="203" t="s">
        <v>436</v>
      </c>
      <c r="B132" s="265" t="s">
        <v>440</v>
      </c>
      <c r="C132" s="263"/>
      <c r="D132" s="52"/>
      <c r="E132" s="68"/>
      <c r="F132" s="31"/>
    </row>
    <row r="133" spans="1:3" ht="12.75">
      <c r="A133" s="203" t="s">
        <v>436</v>
      </c>
      <c r="B133" s="264" t="s">
        <v>441</v>
      </c>
      <c r="C133" s="263"/>
    </row>
    <row r="134" spans="1:3" ht="12.75">
      <c r="A134" s="203" t="s">
        <v>436</v>
      </c>
      <c r="B134" s="240" t="s">
        <v>1411</v>
      </c>
      <c r="C134" s="266"/>
    </row>
    <row r="135" spans="1:6" ht="12.75">
      <c r="A135" s="2"/>
      <c r="B135" s="440"/>
      <c r="C135" s="441"/>
      <c r="D135" s="52"/>
      <c r="E135" s="68"/>
      <c r="F135" s="31"/>
    </row>
    <row r="136" spans="2:6" ht="15.75">
      <c r="B136" s="24" t="s">
        <v>279</v>
      </c>
      <c r="C136" s="58"/>
      <c r="D136" s="39"/>
      <c r="F136" s="31"/>
    </row>
    <row r="137" spans="2:6" ht="39" customHeight="1">
      <c r="B137" s="455" t="s">
        <v>1991</v>
      </c>
      <c r="C137" s="368"/>
      <c r="D137" s="368"/>
      <c r="E137" s="368"/>
      <c r="F137" s="368"/>
    </row>
    <row r="138" spans="2:6" ht="41.25" customHeight="1">
      <c r="B138" s="24"/>
      <c r="C138" s="58"/>
      <c r="D138" s="39"/>
      <c r="F138" s="31"/>
    </row>
    <row r="139" spans="1:11" ht="98.25" customHeight="1">
      <c r="A139" s="2" t="s">
        <v>576</v>
      </c>
      <c r="B139" s="516" t="s">
        <v>153</v>
      </c>
      <c r="C139" s="517"/>
      <c r="D139" s="517"/>
      <c r="E139" s="517"/>
      <c r="F139" s="517"/>
      <c r="H139" s="229"/>
      <c r="I139" s="6"/>
      <c r="J139" s="6"/>
      <c r="K139" s="6"/>
    </row>
    <row r="140" spans="1:8" ht="13.5" customHeight="1">
      <c r="A140" s="2"/>
      <c r="B140" s="70"/>
      <c r="C140" s="69"/>
      <c r="D140" s="69"/>
      <c r="E140" s="69"/>
      <c r="F140" s="69"/>
      <c r="H140" s="245"/>
    </row>
    <row r="141" spans="1:6" ht="12.75">
      <c r="A141" s="2" t="s">
        <v>576</v>
      </c>
      <c r="B141" s="117" t="s">
        <v>280</v>
      </c>
      <c r="C141" s="267">
        <f>1287/1346</f>
        <v>0.9561664190193165</v>
      </c>
      <c r="D141" s="456" t="s">
        <v>281</v>
      </c>
      <c r="E141" s="438"/>
      <c r="F141" s="336">
        <v>1287</v>
      </c>
    </row>
    <row r="142" spans="1:6" ht="12.75">
      <c r="A142" s="2" t="s">
        <v>576</v>
      </c>
      <c r="B142" s="117" t="s">
        <v>282</v>
      </c>
      <c r="C142" s="267">
        <f>59/1346</f>
        <v>0.043833580980683504</v>
      </c>
      <c r="D142" s="456" t="s">
        <v>283</v>
      </c>
      <c r="E142" s="438"/>
      <c r="F142" s="336">
        <v>59</v>
      </c>
    </row>
    <row r="143" spans="1:6" ht="12.75">
      <c r="A143" s="2"/>
      <c r="B143" s="70"/>
      <c r="C143" s="69"/>
      <c r="D143" s="69"/>
      <c r="E143" s="69"/>
      <c r="F143" s="69"/>
    </row>
    <row r="144" spans="1:4" ht="12.75">
      <c r="A144" s="2" t="s">
        <v>576</v>
      </c>
      <c r="B144" s="40"/>
      <c r="C144" s="116" t="s">
        <v>284</v>
      </c>
      <c r="D144" s="116" t="s">
        <v>285</v>
      </c>
    </row>
    <row r="145" spans="1:4" ht="12.75">
      <c r="A145" s="2" t="s">
        <v>576</v>
      </c>
      <c r="B145" s="246" t="s">
        <v>1399</v>
      </c>
      <c r="C145" s="266">
        <v>630</v>
      </c>
      <c r="D145" s="266">
        <v>740</v>
      </c>
    </row>
    <row r="146" spans="1:4" ht="12.75">
      <c r="A146" s="2" t="s">
        <v>576</v>
      </c>
      <c r="B146" s="9" t="s">
        <v>1235</v>
      </c>
      <c r="C146" s="266">
        <v>620</v>
      </c>
      <c r="D146" s="266">
        <v>710</v>
      </c>
    </row>
    <row r="147" spans="1:4" ht="12.75">
      <c r="A147" s="2"/>
      <c r="B147" s="246" t="s">
        <v>1400</v>
      </c>
      <c r="C147" s="266">
        <v>620</v>
      </c>
      <c r="D147" s="266">
        <v>710</v>
      </c>
    </row>
    <row r="148" spans="1:4" ht="12.75">
      <c r="A148" s="2"/>
      <c r="B148" s="246" t="s">
        <v>1401</v>
      </c>
      <c r="C148" s="266"/>
      <c r="D148" s="266"/>
    </row>
    <row r="149" spans="1:4" ht="12.75">
      <c r="A149" s="2" t="s">
        <v>576</v>
      </c>
      <c r="B149" s="9" t="s">
        <v>1674</v>
      </c>
      <c r="C149" s="266">
        <v>27</v>
      </c>
      <c r="D149" s="266">
        <v>32</v>
      </c>
    </row>
    <row r="150" spans="1:4" ht="12.75">
      <c r="A150" s="2" t="s">
        <v>576</v>
      </c>
      <c r="B150" s="9" t="s">
        <v>1676</v>
      </c>
      <c r="C150" s="266">
        <v>26</v>
      </c>
      <c r="D150" s="266">
        <v>30</v>
      </c>
    </row>
    <row r="151" spans="1:4" ht="12.75">
      <c r="A151" s="2" t="s">
        <v>576</v>
      </c>
      <c r="B151" s="9" t="s">
        <v>1675</v>
      </c>
      <c r="C151" s="266">
        <v>27</v>
      </c>
      <c r="D151" s="266">
        <v>33</v>
      </c>
    </row>
    <row r="152" spans="1:4" ht="12.75">
      <c r="A152" s="2" t="s">
        <v>576</v>
      </c>
      <c r="B152" s="246" t="s">
        <v>1402</v>
      </c>
      <c r="C152" s="266"/>
      <c r="D152" s="266"/>
    </row>
    <row r="153" spans="3:4" ht="12.75">
      <c r="C153" s="178"/>
      <c r="D153" s="178"/>
    </row>
    <row r="154" spans="1:6" ht="12.75">
      <c r="A154" s="2" t="s">
        <v>576</v>
      </c>
      <c r="B154" s="457" t="s">
        <v>1526</v>
      </c>
      <c r="C154" s="369"/>
      <c r="D154" s="369"/>
      <c r="E154" s="369"/>
      <c r="F154" s="369"/>
    </row>
    <row r="155" spans="1:5" ht="25.5">
      <c r="A155" s="2" t="s">
        <v>576</v>
      </c>
      <c r="B155" s="40"/>
      <c r="C155" s="247" t="s">
        <v>1399</v>
      </c>
      <c r="D155" s="116" t="s">
        <v>1235</v>
      </c>
      <c r="E155" s="248" t="s">
        <v>1400</v>
      </c>
    </row>
    <row r="156" spans="1:5" ht="12.75">
      <c r="A156" s="2" t="s">
        <v>576</v>
      </c>
      <c r="B156" s="9" t="s">
        <v>1677</v>
      </c>
      <c r="C156" s="337">
        <v>0.4522</v>
      </c>
      <c r="D156" s="337">
        <v>0.3217</v>
      </c>
      <c r="E156" s="337">
        <v>0.359</v>
      </c>
    </row>
    <row r="157" spans="1:5" ht="12.75">
      <c r="A157" s="2" t="s">
        <v>576</v>
      </c>
      <c r="B157" s="9" t="s">
        <v>1678</v>
      </c>
      <c r="C157" s="337">
        <v>0.397</v>
      </c>
      <c r="D157" s="337">
        <v>0.5128</v>
      </c>
      <c r="E157" s="337">
        <v>0.4662</v>
      </c>
    </row>
    <row r="158" spans="1:5" ht="12.75">
      <c r="A158" s="2" t="s">
        <v>576</v>
      </c>
      <c r="B158" s="9" t="s">
        <v>1956</v>
      </c>
      <c r="C158" s="337">
        <v>0.1321</v>
      </c>
      <c r="D158" s="337">
        <v>0.1469</v>
      </c>
      <c r="E158" s="337">
        <v>0.1523</v>
      </c>
    </row>
    <row r="159" spans="1:5" ht="12.75">
      <c r="A159" s="2" t="s">
        <v>576</v>
      </c>
      <c r="B159" s="9" t="s">
        <v>1957</v>
      </c>
      <c r="C159" s="337">
        <v>0.0186</v>
      </c>
      <c r="D159" s="337">
        <v>0.0171</v>
      </c>
      <c r="E159" s="337">
        <v>0.021</v>
      </c>
    </row>
    <row r="160" spans="1:5" ht="12.75">
      <c r="A160" s="2" t="s">
        <v>576</v>
      </c>
      <c r="B160" s="9" t="s">
        <v>1958</v>
      </c>
      <c r="C160" s="337">
        <v>0</v>
      </c>
      <c r="D160" s="337">
        <v>0.0016</v>
      </c>
      <c r="E160" s="337">
        <v>0.002</v>
      </c>
    </row>
    <row r="161" spans="1:5" ht="12.75">
      <c r="A161" s="2" t="s">
        <v>576</v>
      </c>
      <c r="B161" s="9" t="s">
        <v>1959</v>
      </c>
      <c r="C161" s="337">
        <v>0</v>
      </c>
      <c r="D161" s="337">
        <v>0</v>
      </c>
      <c r="E161" s="337">
        <v>0</v>
      </c>
    </row>
    <row r="162" spans="2:5" ht="12.75">
      <c r="B162" s="187" t="s">
        <v>1582</v>
      </c>
      <c r="C162" s="271">
        <f>SUM(C156:C161)</f>
        <v>0.9998999999999999</v>
      </c>
      <c r="D162" s="271">
        <f>SUM(D156:D161)</f>
        <v>1.0001</v>
      </c>
      <c r="E162" s="271">
        <f>SUM(E156:E161)</f>
        <v>1.0005</v>
      </c>
    </row>
    <row r="163" spans="1:5" ht="12.75">
      <c r="A163" s="2" t="s">
        <v>576</v>
      </c>
      <c r="B163" s="40"/>
      <c r="C163" s="116" t="s">
        <v>1674</v>
      </c>
      <c r="D163" s="116" t="s">
        <v>1675</v>
      </c>
      <c r="E163" s="116" t="s">
        <v>1676</v>
      </c>
    </row>
    <row r="164" spans="1:5" ht="12.75">
      <c r="A164" s="2" t="s">
        <v>576</v>
      </c>
      <c r="B164" s="9" t="s">
        <v>1960</v>
      </c>
      <c r="C164" s="337">
        <v>0.4576</v>
      </c>
      <c r="D164" s="337">
        <v>0.6441</v>
      </c>
      <c r="E164" s="337">
        <v>0.322</v>
      </c>
    </row>
    <row r="165" spans="1:5" ht="12.75">
      <c r="A165" s="2" t="s">
        <v>576</v>
      </c>
      <c r="B165" s="9" t="s">
        <v>1961</v>
      </c>
      <c r="C165" s="337">
        <v>0.4746</v>
      </c>
      <c r="D165" s="337">
        <v>0.2712</v>
      </c>
      <c r="E165" s="337">
        <v>0.5763</v>
      </c>
    </row>
    <row r="166" spans="1:5" ht="12.75">
      <c r="A166" s="2" t="s">
        <v>576</v>
      </c>
      <c r="B166" s="9" t="s">
        <v>1962</v>
      </c>
      <c r="C166" s="337">
        <v>0.0678</v>
      </c>
      <c r="D166" s="337">
        <v>0.0847</v>
      </c>
      <c r="E166" s="337">
        <v>0.0678</v>
      </c>
    </row>
    <row r="167" spans="1:5" ht="12.75">
      <c r="A167" s="2" t="s">
        <v>576</v>
      </c>
      <c r="B167" s="41" t="s">
        <v>1963</v>
      </c>
      <c r="C167" s="337">
        <v>0</v>
      </c>
      <c r="D167" s="337">
        <v>0</v>
      </c>
      <c r="E167" s="337">
        <v>0.0339</v>
      </c>
    </row>
    <row r="168" spans="1:5" ht="12.75">
      <c r="A168" s="2" t="s">
        <v>576</v>
      </c>
      <c r="B168" s="41" t="s">
        <v>1964</v>
      </c>
      <c r="C168" s="337">
        <v>0</v>
      </c>
      <c r="D168" s="337">
        <v>0</v>
      </c>
      <c r="E168" s="337">
        <v>0</v>
      </c>
    </row>
    <row r="169" spans="1:5" ht="12.75">
      <c r="A169" s="2" t="s">
        <v>576</v>
      </c>
      <c r="B169" s="9" t="s">
        <v>1965</v>
      </c>
      <c r="C169" s="337">
        <v>0</v>
      </c>
      <c r="D169" s="337">
        <v>0</v>
      </c>
      <c r="E169" s="337">
        <v>0</v>
      </c>
    </row>
    <row r="170" spans="2:5" ht="12.75">
      <c r="B170" s="9" t="s">
        <v>1582</v>
      </c>
      <c r="C170" s="271">
        <f>SUM(C164:C169)</f>
        <v>1</v>
      </c>
      <c r="D170" s="271">
        <f>SUM(D164:D169)</f>
        <v>1</v>
      </c>
      <c r="E170" s="271">
        <f>SUM(E164:E169)</f>
        <v>1</v>
      </c>
    </row>
    <row r="171" spans="1:6" ht="39.75" customHeight="1">
      <c r="A171" s="2" t="s">
        <v>577</v>
      </c>
      <c r="B171" s="477" t="s">
        <v>935</v>
      </c>
      <c r="C171" s="477"/>
      <c r="D171" s="477"/>
      <c r="E171" s="477"/>
      <c r="F171" s="477"/>
    </row>
    <row r="172" spans="1:6" ht="12.75">
      <c r="A172" s="2" t="s">
        <v>577</v>
      </c>
      <c r="B172" s="453" t="s">
        <v>1018</v>
      </c>
      <c r="C172" s="453"/>
      <c r="D172" s="453"/>
      <c r="E172" s="337">
        <f>518/658</f>
        <v>0.7872340425531915</v>
      </c>
      <c r="F172" s="58"/>
    </row>
    <row r="173" spans="1:6" ht="12.75">
      <c r="A173" s="2" t="s">
        <v>577</v>
      </c>
      <c r="B173" s="406" t="s">
        <v>1019</v>
      </c>
      <c r="C173" s="406"/>
      <c r="D173" s="406"/>
      <c r="E173" s="337">
        <f>(518+117)/658</f>
        <v>0.9650455927051672</v>
      </c>
      <c r="F173" s="58"/>
    </row>
    <row r="174" spans="1:6" ht="12.75">
      <c r="A174" s="2" t="s">
        <v>577</v>
      </c>
      <c r="B174" s="406" t="s">
        <v>1020</v>
      </c>
      <c r="C174" s="406"/>
      <c r="D174" s="406"/>
      <c r="E174" s="337">
        <v>0.998</v>
      </c>
      <c r="F174" s="179" t="s">
        <v>177</v>
      </c>
    </row>
    <row r="175" spans="1:6" ht="12.75">
      <c r="A175" s="2" t="s">
        <v>577</v>
      </c>
      <c r="B175" s="406" t="s">
        <v>1699</v>
      </c>
      <c r="C175" s="406"/>
      <c r="D175" s="406"/>
      <c r="E175" s="337">
        <v>0.002</v>
      </c>
      <c r="F175" s="179" t="s">
        <v>178</v>
      </c>
    </row>
    <row r="176" spans="1:6" ht="12.75">
      <c r="A176" s="2" t="s">
        <v>577</v>
      </c>
      <c r="B176" s="406" t="s">
        <v>1700</v>
      </c>
      <c r="C176" s="406"/>
      <c r="D176" s="406"/>
      <c r="E176" s="337">
        <v>0</v>
      </c>
      <c r="F176" s="58"/>
    </row>
    <row r="177" spans="1:6" ht="26.25" customHeight="1">
      <c r="A177" s="2" t="s">
        <v>577</v>
      </c>
      <c r="B177" s="429" t="s">
        <v>1591</v>
      </c>
      <c r="C177" s="408"/>
      <c r="D177" s="408"/>
      <c r="E177" s="454"/>
      <c r="F177" s="337">
        <f>(1346-688)/1346</f>
        <v>0.4888558692421991</v>
      </c>
    </row>
    <row r="178" ht="25.5" customHeight="1">
      <c r="F178" s="31"/>
    </row>
    <row r="179" spans="1:6" ht="38.25" customHeight="1">
      <c r="A179" s="2" t="s">
        <v>578</v>
      </c>
      <c r="B179" s="455" t="s">
        <v>1668</v>
      </c>
      <c r="C179" s="368"/>
      <c r="D179" s="368"/>
      <c r="E179" s="368"/>
      <c r="F179" s="368"/>
    </row>
    <row r="180" spans="1:6" ht="12.75">
      <c r="A180" s="2" t="s">
        <v>578</v>
      </c>
      <c r="B180" s="446" t="s">
        <v>442</v>
      </c>
      <c r="C180" s="446"/>
      <c r="D180" s="273">
        <f>863/1125</f>
        <v>0.7671111111111111</v>
      </c>
      <c r="F180" s="58"/>
    </row>
    <row r="181" spans="1:6" ht="12.75">
      <c r="A181" s="2" t="s">
        <v>578</v>
      </c>
      <c r="B181" s="446" t="s">
        <v>443</v>
      </c>
      <c r="C181" s="446"/>
      <c r="D181" s="273">
        <v>0.1689</v>
      </c>
      <c r="F181" s="58"/>
    </row>
    <row r="182" spans="1:6" ht="12.75">
      <c r="A182" s="2" t="s">
        <v>578</v>
      </c>
      <c r="B182" s="446" t="s">
        <v>444</v>
      </c>
      <c r="C182" s="446"/>
      <c r="D182" s="273">
        <v>0.0356</v>
      </c>
      <c r="F182" s="58"/>
    </row>
    <row r="183" spans="1:6" ht="12.75">
      <c r="A183" s="2" t="s">
        <v>578</v>
      </c>
      <c r="B183" s="446" t="s">
        <v>445</v>
      </c>
      <c r="C183" s="446"/>
      <c r="D183" s="273">
        <v>0.024</v>
      </c>
      <c r="F183" s="58"/>
    </row>
    <row r="184" spans="1:6" ht="12.75">
      <c r="A184" s="2" t="s">
        <v>578</v>
      </c>
      <c r="B184" s="446" t="s">
        <v>446</v>
      </c>
      <c r="C184" s="446"/>
      <c r="D184" s="273">
        <v>0.0044</v>
      </c>
      <c r="F184" s="58"/>
    </row>
    <row r="185" spans="1:6" ht="12.75">
      <c r="A185" s="2" t="s">
        <v>578</v>
      </c>
      <c r="B185" s="446" t="s">
        <v>1438</v>
      </c>
      <c r="C185" s="446"/>
      <c r="D185" s="273">
        <v>0</v>
      </c>
      <c r="F185" s="58"/>
    </row>
    <row r="186" spans="1:6" ht="12.75">
      <c r="A186" s="2" t="s">
        <v>578</v>
      </c>
      <c r="B186" s="406" t="s">
        <v>1701</v>
      </c>
      <c r="C186" s="406"/>
      <c r="D186" s="273">
        <v>0</v>
      </c>
      <c r="F186" s="58"/>
    </row>
    <row r="187" spans="1:6" ht="12.75">
      <c r="A187" s="2" t="s">
        <v>578</v>
      </c>
      <c r="B187" s="406" t="s">
        <v>1702</v>
      </c>
      <c r="C187" s="406"/>
      <c r="D187" s="273">
        <v>0</v>
      </c>
      <c r="F187" s="58"/>
    </row>
    <row r="188" spans="2:6" ht="12.75">
      <c r="B188" s="493" t="s">
        <v>1582</v>
      </c>
      <c r="C188" s="494"/>
      <c r="D188" s="274">
        <f>SUM(D180:D187)</f>
        <v>1.0000111111111112</v>
      </c>
      <c r="F188" s="34"/>
    </row>
    <row r="189" spans="1:7" ht="12.75">
      <c r="A189" s="204"/>
      <c r="B189" s="207"/>
      <c r="C189" s="207"/>
      <c r="D189" s="207"/>
      <c r="E189" s="42"/>
      <c r="F189" s="34"/>
      <c r="G189" s="34"/>
    </row>
    <row r="190" spans="1:7" s="34" customFormat="1" ht="31.5" customHeight="1">
      <c r="A190" s="2" t="s">
        <v>579</v>
      </c>
      <c r="B190" s="509" t="s">
        <v>1669</v>
      </c>
      <c r="C190" s="510"/>
      <c r="D190" s="510"/>
      <c r="E190" s="275">
        <v>4</v>
      </c>
      <c r="F190" s="74"/>
      <c r="G190"/>
    </row>
    <row r="191" spans="1:6" ht="27" customHeight="1">
      <c r="A191" s="2" t="s">
        <v>579</v>
      </c>
      <c r="B191" s="456" t="s">
        <v>766</v>
      </c>
      <c r="C191" s="406"/>
      <c r="D191" s="406"/>
      <c r="E191" s="273">
        <f>1125/1346</f>
        <v>0.8358098068350669</v>
      </c>
      <c r="F191" s="58"/>
    </row>
    <row r="192" ht="24.75" customHeight="1">
      <c r="F192" s="34"/>
    </row>
    <row r="193" spans="2:6" ht="15.75">
      <c r="B193" s="24" t="s">
        <v>1703</v>
      </c>
      <c r="F193" s="34"/>
    </row>
    <row r="194" spans="1:6" ht="12.75">
      <c r="A194" s="2" t="s">
        <v>580</v>
      </c>
      <c r="B194" s="3" t="s">
        <v>1704</v>
      </c>
      <c r="F194" s="34"/>
    </row>
    <row r="195" spans="1:7" ht="12.75">
      <c r="A195" s="2" t="s">
        <v>580</v>
      </c>
      <c r="B195" s="66"/>
      <c r="C195" s="35" t="s">
        <v>175</v>
      </c>
      <c r="D195" s="35" t="s">
        <v>176</v>
      </c>
      <c r="E195" s="14"/>
      <c r="F195" s="14"/>
      <c r="G195" s="55"/>
    </row>
    <row r="196" spans="1:8" ht="25.5">
      <c r="A196" s="2" t="s">
        <v>580</v>
      </c>
      <c r="B196" s="44" t="s">
        <v>1705</v>
      </c>
      <c r="C196" s="276" t="s">
        <v>1808</v>
      </c>
      <c r="D196" s="276"/>
      <c r="F196" s="31"/>
      <c r="H196" s="55"/>
    </row>
    <row r="197" spans="1:6" ht="12.75">
      <c r="A197" s="2" t="s">
        <v>580</v>
      </c>
      <c r="B197" s="9" t="s">
        <v>1706</v>
      </c>
      <c r="C197" s="277">
        <v>60</v>
      </c>
      <c r="F197" s="75"/>
    </row>
    <row r="198" spans="1:7" ht="12.75">
      <c r="A198" s="2" t="s">
        <v>580</v>
      </c>
      <c r="B198" s="66"/>
      <c r="C198" s="35" t="s">
        <v>175</v>
      </c>
      <c r="D198" s="35" t="s">
        <v>176</v>
      </c>
      <c r="E198" s="14"/>
      <c r="F198" s="14"/>
      <c r="G198" s="55"/>
    </row>
    <row r="199" spans="1:8" ht="25.5">
      <c r="A199" s="2" t="s">
        <v>580</v>
      </c>
      <c r="B199" s="8" t="s">
        <v>1707</v>
      </c>
      <c r="C199" s="276" t="s">
        <v>1808</v>
      </c>
      <c r="D199" s="276"/>
      <c r="F199" s="31"/>
      <c r="H199" s="55"/>
    </row>
    <row r="200" spans="1:6" ht="12.75">
      <c r="A200" s="2"/>
      <c r="B200" s="52"/>
      <c r="C200" s="98"/>
      <c r="D200" s="98"/>
      <c r="F200" s="31"/>
    </row>
    <row r="201" spans="1:6" ht="12.75">
      <c r="A201" s="2" t="s">
        <v>580</v>
      </c>
      <c r="B201" s="514" t="s">
        <v>1439</v>
      </c>
      <c r="C201" s="447"/>
      <c r="D201" s="447"/>
      <c r="F201" s="31"/>
    </row>
    <row r="202" spans="1:6" ht="12.75">
      <c r="A202" s="2" t="s">
        <v>580</v>
      </c>
      <c r="B202" s="225" t="s">
        <v>1440</v>
      </c>
      <c r="C202" s="276" t="s">
        <v>1808</v>
      </c>
      <c r="D202" s="98"/>
      <c r="F202" s="31"/>
    </row>
    <row r="203" spans="1:6" ht="12.75">
      <c r="A203" s="2" t="s">
        <v>580</v>
      </c>
      <c r="B203" s="225" t="s">
        <v>1441</v>
      </c>
      <c r="C203" s="276"/>
      <c r="D203" s="98"/>
      <c r="F203" s="31"/>
    </row>
    <row r="204" spans="1:6" ht="12.75">
      <c r="A204" s="2" t="s">
        <v>580</v>
      </c>
      <c r="B204" s="225" t="s">
        <v>1442</v>
      </c>
      <c r="C204" s="276"/>
      <c r="D204" s="98"/>
      <c r="F204" s="31"/>
    </row>
    <row r="205" spans="2:6" ht="12.75">
      <c r="B205" s="52"/>
      <c r="C205" s="98"/>
      <c r="D205" s="98"/>
      <c r="F205" s="31"/>
    </row>
    <row r="206" spans="1:6" ht="12.75">
      <c r="A206" s="2" t="s">
        <v>580</v>
      </c>
      <c r="B206" s="66"/>
      <c r="C206" s="35" t="s">
        <v>175</v>
      </c>
      <c r="D206" s="35" t="s">
        <v>176</v>
      </c>
      <c r="F206" s="31"/>
    </row>
    <row r="207" spans="1:6" ht="38.25">
      <c r="A207" s="2" t="s">
        <v>580</v>
      </c>
      <c r="B207" s="225" t="s">
        <v>1443</v>
      </c>
      <c r="C207" s="276" t="s">
        <v>1808</v>
      </c>
      <c r="D207" s="276"/>
      <c r="F207" s="31"/>
    </row>
    <row r="208" ht="12.75">
      <c r="F208" s="34"/>
    </row>
    <row r="209" spans="1:6" ht="12.75">
      <c r="A209" s="2" t="s">
        <v>581</v>
      </c>
      <c r="B209" s="3" t="s">
        <v>1708</v>
      </c>
      <c r="F209" s="34"/>
    </row>
    <row r="210" spans="1:7" ht="12.75">
      <c r="A210" s="2" t="s">
        <v>581</v>
      </c>
      <c r="B210" s="66"/>
      <c r="C210" s="35" t="s">
        <v>175</v>
      </c>
      <c r="D210" s="35" t="s">
        <v>176</v>
      </c>
      <c r="E210" s="14"/>
      <c r="F210" s="14"/>
      <c r="G210" s="55"/>
    </row>
    <row r="211" spans="1:8" ht="25.5">
      <c r="A211" s="2" t="s">
        <v>581</v>
      </c>
      <c r="B211" s="44" t="s">
        <v>1709</v>
      </c>
      <c r="C211" s="276" t="s">
        <v>1808</v>
      </c>
      <c r="D211" s="276"/>
      <c r="F211" s="31"/>
      <c r="H211" s="55"/>
    </row>
    <row r="212" spans="1:6" ht="12.75">
      <c r="A212" s="2" t="s">
        <v>581</v>
      </c>
      <c r="B212" s="76" t="s">
        <v>767</v>
      </c>
      <c r="C212" s="279">
        <v>39083</v>
      </c>
      <c r="F212" s="34"/>
    </row>
    <row r="213" spans="1:6" ht="12.75">
      <c r="A213" s="2" t="s">
        <v>581</v>
      </c>
      <c r="B213" s="76" t="s">
        <v>768</v>
      </c>
      <c r="C213" s="279"/>
      <c r="F213" s="34"/>
    </row>
    <row r="214" spans="2:6" ht="12.75">
      <c r="B214" s="56"/>
      <c r="F214" s="34"/>
    </row>
    <row r="215" spans="1:7" ht="12.75">
      <c r="A215" s="2" t="s">
        <v>582</v>
      </c>
      <c r="B215" s="448"/>
      <c r="C215" s="449"/>
      <c r="D215" s="450"/>
      <c r="E215" s="35" t="s">
        <v>175</v>
      </c>
      <c r="F215" s="35" t="s">
        <v>176</v>
      </c>
      <c r="G215" s="55"/>
    </row>
    <row r="216" spans="1:8" ht="25.5" customHeight="1">
      <c r="A216" s="2" t="s">
        <v>582</v>
      </c>
      <c r="B216" s="511" t="s">
        <v>1444</v>
      </c>
      <c r="C216" s="512"/>
      <c r="D216" s="513"/>
      <c r="E216" s="276"/>
      <c r="F216" s="276" t="s">
        <v>1808</v>
      </c>
      <c r="H216" s="55"/>
    </row>
    <row r="217" ht="28.5" customHeight="1">
      <c r="F217" s="34"/>
    </row>
    <row r="218" spans="1:6" ht="12.75">
      <c r="A218" s="2" t="s">
        <v>583</v>
      </c>
      <c r="B218" s="57" t="s">
        <v>769</v>
      </c>
      <c r="F218" s="34"/>
    </row>
    <row r="219" spans="1:6" ht="25.5">
      <c r="A219" s="2" t="s">
        <v>583</v>
      </c>
      <c r="B219" s="44" t="s">
        <v>770</v>
      </c>
      <c r="C219" s="279"/>
      <c r="D219" s="49"/>
      <c r="E219" s="34"/>
      <c r="F219" s="34"/>
    </row>
    <row r="220" spans="1:6" ht="12.75">
      <c r="A220" s="2" t="s">
        <v>583</v>
      </c>
      <c r="B220" s="76" t="s">
        <v>771</v>
      </c>
      <c r="C220" s="279">
        <v>39173</v>
      </c>
      <c r="D220" s="49"/>
      <c r="E220" s="34"/>
      <c r="F220" s="34"/>
    </row>
    <row r="221" spans="1:6" ht="12.75">
      <c r="A221" s="2" t="s">
        <v>583</v>
      </c>
      <c r="B221" s="77" t="s">
        <v>772</v>
      </c>
      <c r="C221" s="78"/>
      <c r="D221" s="49"/>
      <c r="E221" s="34"/>
      <c r="F221" s="34"/>
    </row>
    <row r="222" spans="1:6" ht="12.75">
      <c r="A222" s="2"/>
      <c r="B222" s="500"/>
      <c r="C222" s="380"/>
      <c r="D222" s="49"/>
      <c r="E222" s="34"/>
      <c r="F222" s="34"/>
    </row>
    <row r="223" spans="2:6" ht="12.75">
      <c r="B223" s="34"/>
      <c r="C223" s="34"/>
      <c r="D223" s="34"/>
      <c r="E223" s="34"/>
      <c r="F223" s="34"/>
    </row>
    <row r="224" spans="1:6" ht="12.75">
      <c r="A224" s="2" t="s">
        <v>584</v>
      </c>
      <c r="B224" s="3" t="s">
        <v>1592</v>
      </c>
      <c r="F224" s="34"/>
    </row>
    <row r="225" spans="1:6" ht="12.75">
      <c r="A225" s="2" t="s">
        <v>584</v>
      </c>
      <c r="B225" s="86" t="s">
        <v>1570</v>
      </c>
      <c r="C225" s="279">
        <v>39203</v>
      </c>
      <c r="F225" s="34"/>
    </row>
    <row r="226" spans="1:6" ht="12.75">
      <c r="A226" s="2" t="s">
        <v>584</v>
      </c>
      <c r="B226" s="86" t="s">
        <v>1786</v>
      </c>
      <c r="C226" s="276"/>
      <c r="F226" s="34"/>
    </row>
    <row r="227" spans="1:6" ht="51">
      <c r="A227" s="2" t="s">
        <v>584</v>
      </c>
      <c r="B227" s="86" t="s">
        <v>1787</v>
      </c>
      <c r="C227" s="296"/>
      <c r="D227" s="296"/>
      <c r="F227" s="34"/>
    </row>
    <row r="228" spans="1:6" ht="12.75">
      <c r="A228" s="2" t="s">
        <v>584</v>
      </c>
      <c r="B228" s="77" t="s">
        <v>772</v>
      </c>
      <c r="C228" s="78"/>
      <c r="F228" s="34"/>
    </row>
    <row r="229" spans="1:6" ht="12.75">
      <c r="A229" s="2"/>
      <c r="B229" s="506"/>
      <c r="C229" s="507"/>
      <c r="F229" s="34"/>
    </row>
    <row r="230" spans="1:6" ht="12.75">
      <c r="A230" s="2" t="s">
        <v>584</v>
      </c>
      <c r="B230" s="444" t="s">
        <v>242</v>
      </c>
      <c r="C230" s="445"/>
      <c r="D230" s="279">
        <v>39203</v>
      </c>
      <c r="F230" s="34"/>
    </row>
    <row r="231" spans="1:6" ht="12.75">
      <c r="A231" s="2" t="s">
        <v>584</v>
      </c>
      <c r="B231" s="444" t="s">
        <v>1445</v>
      </c>
      <c r="C231" s="445"/>
      <c r="D231" s="277">
        <v>200</v>
      </c>
      <c r="F231" s="34"/>
    </row>
    <row r="232" spans="1:6" ht="12.75">
      <c r="A232" s="2" t="s">
        <v>584</v>
      </c>
      <c r="B232" s="444" t="s">
        <v>1446</v>
      </c>
      <c r="C232" s="445"/>
      <c r="F232" s="34"/>
    </row>
    <row r="233" spans="1:6" ht="12.75">
      <c r="A233" s="2" t="s">
        <v>584</v>
      </c>
      <c r="B233" s="241" t="s">
        <v>1447</v>
      </c>
      <c r="C233" s="276"/>
      <c r="F233" s="34"/>
    </row>
    <row r="234" spans="1:6" ht="12.75">
      <c r="A234" s="2" t="s">
        <v>584</v>
      </c>
      <c r="B234" s="241" t="s">
        <v>1448</v>
      </c>
      <c r="C234" s="276"/>
      <c r="F234" s="34"/>
    </row>
    <row r="235" spans="1:6" ht="12.75">
      <c r="A235" s="2" t="s">
        <v>584</v>
      </c>
      <c r="B235" s="242" t="s">
        <v>1449</v>
      </c>
      <c r="C235" s="276" t="s">
        <v>1808</v>
      </c>
      <c r="D235" s="34"/>
      <c r="E235" s="34"/>
      <c r="F235" s="34"/>
    </row>
    <row r="236" ht="12.75">
      <c r="F236" s="34"/>
    </row>
    <row r="237" spans="1:6" ht="12.75">
      <c r="A237" s="2" t="s">
        <v>585</v>
      </c>
      <c r="B237" s="3" t="s">
        <v>1710</v>
      </c>
      <c r="F237" s="34"/>
    </row>
    <row r="238" spans="1:6" ht="12.75">
      <c r="A238" s="2" t="s">
        <v>585</v>
      </c>
      <c r="B238" s="448"/>
      <c r="C238" s="449"/>
      <c r="D238" s="450"/>
      <c r="E238" s="35" t="s">
        <v>175</v>
      </c>
      <c r="F238" s="35" t="s">
        <v>176</v>
      </c>
    </row>
    <row r="239" spans="1:6" ht="29.25" customHeight="1">
      <c r="A239" s="2" t="s">
        <v>585</v>
      </c>
      <c r="B239" s="407" t="s">
        <v>1711</v>
      </c>
      <c r="C239" s="451"/>
      <c r="D239" s="452"/>
      <c r="E239" s="276" t="s">
        <v>1808</v>
      </c>
      <c r="F239" s="276"/>
    </row>
    <row r="240" spans="1:6" ht="12.75">
      <c r="A240" s="2" t="s">
        <v>585</v>
      </c>
      <c r="B240" s="453" t="s">
        <v>1712</v>
      </c>
      <c r="C240" s="453"/>
      <c r="D240" s="281" t="s">
        <v>167</v>
      </c>
      <c r="F240" s="31"/>
    </row>
    <row r="241" ht="12.75">
      <c r="F241" s="34"/>
    </row>
    <row r="242" spans="1:6" ht="12.75">
      <c r="A242" s="2" t="s">
        <v>586</v>
      </c>
      <c r="B242" s="3" t="s">
        <v>1713</v>
      </c>
      <c r="F242" s="34"/>
    </row>
    <row r="243" spans="1:6" ht="12.75">
      <c r="A243" s="2" t="s">
        <v>586</v>
      </c>
      <c r="B243" s="448"/>
      <c r="C243" s="449"/>
      <c r="D243" s="450"/>
      <c r="E243" s="35" t="s">
        <v>175</v>
      </c>
      <c r="F243" s="35" t="s">
        <v>176</v>
      </c>
    </row>
    <row r="244" spans="1:6" ht="45.75" customHeight="1">
      <c r="A244" s="2" t="s">
        <v>586</v>
      </c>
      <c r="B244" s="407" t="s">
        <v>1202</v>
      </c>
      <c r="C244" s="451"/>
      <c r="D244" s="452"/>
      <c r="E244" s="276" t="s">
        <v>1808</v>
      </c>
      <c r="F244" s="276"/>
    </row>
    <row r="245" ht="40.5" customHeight="1">
      <c r="F245" s="34"/>
    </row>
    <row r="246" spans="1:6" ht="12.75">
      <c r="A246" s="2" t="s">
        <v>587</v>
      </c>
      <c r="B246" s="363" t="s">
        <v>1593</v>
      </c>
      <c r="C246" s="442" t="s">
        <v>1403</v>
      </c>
      <c r="D246" s="443"/>
      <c r="E246" s="227" t="s">
        <v>1992</v>
      </c>
      <c r="F246" s="34"/>
    </row>
    <row r="247" ht="12.75">
      <c r="F247" s="34"/>
    </row>
    <row r="248" spans="2:6" ht="15.75">
      <c r="B248" s="24" t="s">
        <v>1714</v>
      </c>
      <c r="F248" s="34"/>
    </row>
    <row r="249" spans="1:6" ht="12.75">
      <c r="A249" s="2" t="s">
        <v>588</v>
      </c>
      <c r="B249" s="3" t="s">
        <v>179</v>
      </c>
      <c r="F249" s="34"/>
    </row>
    <row r="250" spans="1:6" ht="12.75">
      <c r="A250" s="2" t="s">
        <v>588</v>
      </c>
      <c r="B250" s="448"/>
      <c r="C250" s="449"/>
      <c r="D250" s="450"/>
      <c r="E250" s="35" t="s">
        <v>175</v>
      </c>
      <c r="F250" s="35" t="s">
        <v>176</v>
      </c>
    </row>
    <row r="251" spans="1:6" ht="65.25" customHeight="1">
      <c r="A251" s="2" t="s">
        <v>588</v>
      </c>
      <c r="B251" s="407" t="s">
        <v>1212</v>
      </c>
      <c r="C251" s="451"/>
      <c r="D251" s="452"/>
      <c r="E251" s="276" t="s">
        <v>1808</v>
      </c>
      <c r="F251" s="276"/>
    </row>
    <row r="252" spans="1:6" ht="12.75" customHeight="1">
      <c r="A252" s="2" t="s">
        <v>588</v>
      </c>
      <c r="B252" s="432" t="s">
        <v>1213</v>
      </c>
      <c r="C252" s="432"/>
      <c r="D252" s="476"/>
      <c r="E252" s="98"/>
      <c r="F252" s="98"/>
    </row>
    <row r="253" spans="1:6" ht="12.75" customHeight="1">
      <c r="A253" s="2" t="s">
        <v>588</v>
      </c>
      <c r="B253" s="438" t="s">
        <v>1214</v>
      </c>
      <c r="C253" s="438"/>
      <c r="D253" s="438"/>
      <c r="E253" s="279">
        <v>39387</v>
      </c>
      <c r="F253" s="98"/>
    </row>
    <row r="254" spans="1:6" ht="12.75" customHeight="1">
      <c r="A254" s="2" t="s">
        <v>588</v>
      </c>
      <c r="B254" s="438" t="s">
        <v>1215</v>
      </c>
      <c r="C254" s="438"/>
      <c r="D254" s="438"/>
      <c r="E254" s="279">
        <v>39417</v>
      </c>
      <c r="F254" s="98"/>
    </row>
    <row r="255" spans="1:6" ht="12.75" customHeight="1">
      <c r="A255" s="2" t="s">
        <v>588</v>
      </c>
      <c r="B255" s="438" t="s">
        <v>1216</v>
      </c>
      <c r="C255" s="438"/>
      <c r="D255" s="438"/>
      <c r="E255" s="279"/>
      <c r="F255" s="98"/>
    </row>
    <row r="256" spans="1:6" ht="12.75" customHeight="1">
      <c r="A256" s="2" t="s">
        <v>588</v>
      </c>
      <c r="B256" s="438" t="s">
        <v>1217</v>
      </c>
      <c r="C256" s="438"/>
      <c r="D256" s="438"/>
      <c r="E256" s="279"/>
      <c r="F256" s="98"/>
    </row>
    <row r="257" spans="1:6" ht="12.75" customHeight="1">
      <c r="A257" s="2" t="s">
        <v>588</v>
      </c>
      <c r="B257" s="439" t="s">
        <v>1982</v>
      </c>
      <c r="C257" s="439"/>
      <c r="D257" s="439"/>
      <c r="E257" s="98"/>
      <c r="F257" s="98"/>
    </row>
    <row r="258" spans="1:6" ht="12.75" customHeight="1">
      <c r="A258" s="2" t="s">
        <v>588</v>
      </c>
      <c r="B258" s="438" t="s">
        <v>1218</v>
      </c>
      <c r="C258" s="438"/>
      <c r="D258" s="438"/>
      <c r="E258" s="282">
        <v>898</v>
      </c>
      <c r="F258" s="98"/>
    </row>
    <row r="259" spans="1:6" ht="12.75" customHeight="1">
      <c r="A259" s="2" t="s">
        <v>588</v>
      </c>
      <c r="B259" s="437" t="s">
        <v>1219</v>
      </c>
      <c r="C259" s="437"/>
      <c r="D259" s="437"/>
      <c r="E259" s="282">
        <v>409</v>
      </c>
      <c r="F259" s="98"/>
    </row>
    <row r="260" spans="1:6" ht="12.75" customHeight="1">
      <c r="A260" s="2" t="s">
        <v>588</v>
      </c>
      <c r="B260" s="431" t="s">
        <v>1220</v>
      </c>
      <c r="C260" s="432"/>
      <c r="D260" s="432"/>
      <c r="E260" s="432"/>
      <c r="F260" s="433"/>
    </row>
    <row r="261" spans="1:6" ht="47.25" customHeight="1">
      <c r="A261" s="2"/>
      <c r="B261" s="434"/>
      <c r="C261" s="435"/>
      <c r="D261" s="435"/>
      <c r="E261" s="435"/>
      <c r="F261" s="436"/>
    </row>
    <row r="262" ht="12.75">
      <c r="F262" s="34"/>
    </row>
    <row r="263" spans="1:6" ht="12.75">
      <c r="A263" s="2" t="s">
        <v>589</v>
      </c>
      <c r="B263" s="3" t="s">
        <v>1715</v>
      </c>
      <c r="F263" s="34"/>
    </row>
    <row r="264" spans="1:6" ht="12.75">
      <c r="A264" s="2" t="s">
        <v>589</v>
      </c>
      <c r="B264" s="448"/>
      <c r="C264" s="449"/>
      <c r="D264" s="450"/>
      <c r="E264" s="35" t="s">
        <v>175</v>
      </c>
      <c r="F264" s="35" t="s">
        <v>176</v>
      </c>
    </row>
    <row r="265" spans="1:6" ht="63" customHeight="1">
      <c r="A265" s="2" t="s">
        <v>589</v>
      </c>
      <c r="B265" s="407" t="s">
        <v>1450</v>
      </c>
      <c r="C265" s="451"/>
      <c r="D265" s="452"/>
      <c r="E265" s="276"/>
      <c r="F265" s="276" t="s">
        <v>1808</v>
      </c>
    </row>
    <row r="266" spans="1:5" ht="12.75">
      <c r="A266" s="2" t="s">
        <v>589</v>
      </c>
      <c r="B266" s="432" t="s">
        <v>1213</v>
      </c>
      <c r="C266" s="432"/>
      <c r="D266" s="476"/>
      <c r="E266" s="98"/>
    </row>
    <row r="267" spans="1:5" ht="12.75">
      <c r="A267" s="2" t="s">
        <v>589</v>
      </c>
      <c r="B267" s="438" t="s">
        <v>1221</v>
      </c>
      <c r="C267" s="438"/>
      <c r="D267" s="438"/>
      <c r="E267" s="279"/>
    </row>
    <row r="268" spans="1:5" ht="12.75">
      <c r="A268" s="2" t="s">
        <v>589</v>
      </c>
      <c r="B268" s="438" t="s">
        <v>1222</v>
      </c>
      <c r="C268" s="438"/>
      <c r="D268" s="438"/>
      <c r="E268" s="279"/>
    </row>
    <row r="269" ht="12.75">
      <c r="F269" s="34"/>
    </row>
    <row r="270" spans="1:7" ht="12.75">
      <c r="A270" s="2" t="s">
        <v>589</v>
      </c>
      <c r="B270" s="447" t="s">
        <v>447</v>
      </c>
      <c r="C270" s="447"/>
      <c r="D270" s="447"/>
      <c r="E270" s="447"/>
      <c r="F270" s="447"/>
      <c r="G270" s="447"/>
    </row>
    <row r="271" spans="1:6" ht="12.75">
      <c r="A271" s="2" t="s">
        <v>589</v>
      </c>
      <c r="B271" s="243" t="s">
        <v>175</v>
      </c>
      <c r="C271" s="243" t="s">
        <v>176</v>
      </c>
      <c r="F271" s="34"/>
    </row>
    <row r="272" spans="1:3" ht="12.75">
      <c r="A272" s="2" t="s">
        <v>589</v>
      </c>
      <c r="B272" s="276"/>
      <c r="C272" s="276"/>
    </row>
  </sheetData>
  <sheetProtection/>
  <mergeCells count="109">
    <mergeCell ref="B139:F139"/>
    <mergeCell ref="D141:E141"/>
    <mergeCell ref="B122:D122"/>
    <mergeCell ref="B121:D121"/>
    <mergeCell ref="B229:C229"/>
    <mergeCell ref="B108:G108"/>
    <mergeCell ref="B190:D190"/>
    <mergeCell ref="B191:D191"/>
    <mergeCell ref="B215:D215"/>
    <mergeCell ref="B216:D216"/>
    <mergeCell ref="B201:D201"/>
    <mergeCell ref="B124:F124"/>
    <mergeCell ref="A1:F1"/>
    <mergeCell ref="B188:C188"/>
    <mergeCell ref="B27:C27"/>
    <mergeCell ref="B28:C28"/>
    <mergeCell ref="B104:D104"/>
    <mergeCell ref="B105:D105"/>
    <mergeCell ref="B106:D106"/>
    <mergeCell ref="B32:C32"/>
    <mergeCell ref="B33:C33"/>
    <mergeCell ref="B34:C34"/>
    <mergeCell ref="B267:D267"/>
    <mergeCell ref="B20:D20"/>
    <mergeCell ref="B137:F137"/>
    <mergeCell ref="B21:D21"/>
    <mergeCell ref="B22:D22"/>
    <mergeCell ref="B23:D23"/>
    <mergeCell ref="B24:D24"/>
    <mergeCell ref="B36:F36"/>
    <mergeCell ref="B264:D264"/>
    <mergeCell ref="B127:F127"/>
    <mergeCell ref="B266:D266"/>
    <mergeCell ref="B171:F171"/>
    <mergeCell ref="B59:D59"/>
    <mergeCell ref="B60:D60"/>
    <mergeCell ref="B63:D63"/>
    <mergeCell ref="B125:F125"/>
    <mergeCell ref="B258:D258"/>
    <mergeCell ref="B251:D251"/>
    <mergeCell ref="B252:D252"/>
    <mergeCell ref="B66:F66"/>
    <mergeCell ref="B12:D12"/>
    <mergeCell ref="B13:D13"/>
    <mergeCell ref="B18:F18"/>
    <mergeCell ref="B15:D15"/>
    <mergeCell ref="B16:D16"/>
    <mergeCell ref="B265:D265"/>
    <mergeCell ref="B222:C222"/>
    <mergeCell ref="B93:D93"/>
    <mergeCell ref="B92:D92"/>
    <mergeCell ref="C95:G95"/>
    <mergeCell ref="A2:F2"/>
    <mergeCell ref="B6:D6"/>
    <mergeCell ref="B7:D7"/>
    <mergeCell ref="B9:D9"/>
    <mergeCell ref="B5:F5"/>
    <mergeCell ref="B10:D10"/>
    <mergeCell ref="B117:F117"/>
    <mergeCell ref="B64:D64"/>
    <mergeCell ref="B41:F41"/>
    <mergeCell ref="B58:F58"/>
    <mergeCell ref="B62:D62"/>
    <mergeCell ref="B19:D19"/>
    <mergeCell ref="B103:G103"/>
    <mergeCell ref="D142:E142"/>
    <mergeCell ref="B154:F154"/>
    <mergeCell ref="B172:D172"/>
    <mergeCell ref="B173:D173"/>
    <mergeCell ref="B37:C37"/>
    <mergeCell ref="B38:C38"/>
    <mergeCell ref="B39:C39"/>
    <mergeCell ref="B61:D61"/>
    <mergeCell ref="C55:D55"/>
    <mergeCell ref="B94:F94"/>
    <mergeCell ref="B183:C183"/>
    <mergeCell ref="B176:D176"/>
    <mergeCell ref="B177:E177"/>
    <mergeCell ref="B179:F179"/>
    <mergeCell ref="B174:D174"/>
    <mergeCell ref="B175:D175"/>
    <mergeCell ref="B181:C181"/>
    <mergeCell ref="B182:C182"/>
    <mergeCell ref="B270:G270"/>
    <mergeCell ref="B238:D238"/>
    <mergeCell ref="B239:D239"/>
    <mergeCell ref="B240:C240"/>
    <mergeCell ref="B243:D243"/>
    <mergeCell ref="B244:D244"/>
    <mergeCell ref="B253:D253"/>
    <mergeCell ref="B254:D254"/>
    <mergeCell ref="B250:D250"/>
    <mergeCell ref="B268:D268"/>
    <mergeCell ref="B135:C135"/>
    <mergeCell ref="C246:D246"/>
    <mergeCell ref="B230:C230"/>
    <mergeCell ref="B231:C231"/>
    <mergeCell ref="B232:C232"/>
    <mergeCell ref="B184:C184"/>
    <mergeCell ref="B185:C185"/>
    <mergeCell ref="B187:C187"/>
    <mergeCell ref="B186:C186"/>
    <mergeCell ref="B180:C180"/>
    <mergeCell ref="B260:F260"/>
    <mergeCell ref="B261:F261"/>
    <mergeCell ref="B259:D259"/>
    <mergeCell ref="B255:D255"/>
    <mergeCell ref="B256:D256"/>
    <mergeCell ref="B257:D257"/>
  </mergeCells>
  <printOptions/>
  <pageMargins left="0.75" right="0.75" top="1" bottom="1" header="0.5" footer="0.5"/>
  <pageSetup fitToHeight="10" fitToWidth="1" horizontalDpi="600" verticalDpi="600" orientation="portrait" scale="91"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G70"/>
  <sheetViews>
    <sheetView zoomScalePageLayoutView="0" workbookViewId="0" topLeftCell="A19">
      <selection activeCell="K20" sqref="K20"/>
    </sheetView>
  </sheetViews>
  <sheetFormatPr defaultColWidth="9.140625" defaultRowHeight="12.75"/>
  <cols>
    <col min="1" max="1" width="4.421875" style="1" customWidth="1"/>
    <col min="2" max="2" width="22.7109375" style="0" customWidth="1"/>
    <col min="3" max="7" width="12.7109375" style="0" customWidth="1"/>
  </cols>
  <sheetData>
    <row r="1" spans="1:7" ht="23.25">
      <c r="A1" s="397" t="s">
        <v>1972</v>
      </c>
      <c r="B1" s="397"/>
      <c r="C1" s="397"/>
      <c r="D1" s="397"/>
      <c r="E1" s="397"/>
      <c r="F1" s="397"/>
      <c r="G1" s="397"/>
    </row>
    <row r="2" spans="1:7" ht="18">
      <c r="A2" s="398" t="s">
        <v>1223</v>
      </c>
      <c r="B2" s="398"/>
      <c r="C2" s="398"/>
      <c r="D2" s="398"/>
      <c r="E2" s="398"/>
      <c r="F2" s="398"/>
      <c r="G2" s="398"/>
    </row>
    <row r="4" ht="15.75">
      <c r="B4" s="24" t="s">
        <v>1224</v>
      </c>
    </row>
    <row r="5" spans="1:7" ht="12.75">
      <c r="A5" s="2" t="s">
        <v>533</v>
      </c>
      <c r="B5" s="448"/>
      <c r="C5" s="449"/>
      <c r="D5" s="450"/>
      <c r="E5" s="35" t="s">
        <v>175</v>
      </c>
      <c r="F5" s="35" t="s">
        <v>176</v>
      </c>
      <c r="G5" s="102"/>
    </row>
    <row r="6" spans="1:7" ht="26.25" customHeight="1">
      <c r="A6" s="2" t="s">
        <v>533</v>
      </c>
      <c r="B6" s="407" t="s">
        <v>805</v>
      </c>
      <c r="C6" s="451"/>
      <c r="D6" s="452"/>
      <c r="E6" s="276" t="s">
        <v>1808</v>
      </c>
      <c r="F6" s="276"/>
      <c r="G6" s="49"/>
    </row>
    <row r="7" spans="1:7" ht="41.25" customHeight="1">
      <c r="A7" s="2" t="s">
        <v>533</v>
      </c>
      <c r="B7" s="407" t="s">
        <v>532</v>
      </c>
      <c r="C7" s="451"/>
      <c r="D7" s="452"/>
      <c r="E7" s="276" t="s">
        <v>1808</v>
      </c>
      <c r="F7" s="276"/>
      <c r="G7" s="34"/>
    </row>
    <row r="8" spans="2:7" ht="12.75">
      <c r="B8" s="87"/>
      <c r="C8" s="87"/>
      <c r="D8" s="87"/>
      <c r="E8" s="98"/>
      <c r="F8" s="98"/>
      <c r="G8" s="34"/>
    </row>
    <row r="9" spans="1:7" ht="29.25" customHeight="1">
      <c r="A9" s="2" t="s">
        <v>534</v>
      </c>
      <c r="B9" s="528" t="s">
        <v>154</v>
      </c>
      <c r="C9" s="528"/>
      <c r="D9" s="528"/>
      <c r="E9" s="528"/>
      <c r="F9" s="528"/>
      <c r="G9" s="528"/>
    </row>
    <row r="10" spans="1:6" ht="25.5">
      <c r="A10" s="2" t="s">
        <v>534</v>
      </c>
      <c r="B10" s="103"/>
      <c r="C10" s="108" t="s">
        <v>1225</v>
      </c>
      <c r="D10" s="108" t="s">
        <v>1679</v>
      </c>
      <c r="E10" s="108" t="s">
        <v>1680</v>
      </c>
      <c r="F10" s="99"/>
    </row>
    <row r="11" spans="1:6" ht="12.75">
      <c r="A11" s="2" t="s">
        <v>534</v>
      </c>
      <c r="B11" s="16" t="s">
        <v>1277</v>
      </c>
      <c r="C11" s="283">
        <v>248</v>
      </c>
      <c r="D11" s="283">
        <v>126</v>
      </c>
      <c r="E11" s="283">
        <v>71</v>
      </c>
      <c r="F11" s="100"/>
    </row>
    <row r="12" spans="1:6" ht="12.75">
      <c r="A12" s="2" t="s">
        <v>534</v>
      </c>
      <c r="B12" s="16" t="s">
        <v>1278</v>
      </c>
      <c r="C12" s="283">
        <v>400</v>
      </c>
      <c r="D12" s="283">
        <v>206</v>
      </c>
      <c r="E12" s="283">
        <v>121</v>
      </c>
      <c r="F12" s="100"/>
    </row>
    <row r="13" spans="1:6" ht="12.75">
      <c r="A13" s="2" t="s">
        <v>534</v>
      </c>
      <c r="B13" s="18" t="s">
        <v>1681</v>
      </c>
      <c r="C13" s="101">
        <f>SUM(C11:C12)</f>
        <v>648</v>
      </c>
      <c r="D13" s="101">
        <f>SUM(D11:D12)</f>
        <v>332</v>
      </c>
      <c r="E13" s="101">
        <f>SUM(E11:E12)</f>
        <v>192</v>
      </c>
      <c r="F13" s="100"/>
    </row>
    <row r="15" spans="2:3" ht="15.75">
      <c r="B15" s="523" t="s">
        <v>1682</v>
      </c>
      <c r="C15" s="369"/>
    </row>
    <row r="16" spans="1:4" ht="12.75">
      <c r="A16" s="2" t="s">
        <v>535</v>
      </c>
      <c r="B16" s="189" t="s">
        <v>1186</v>
      </c>
      <c r="C16" s="189"/>
      <c r="D16" s="189"/>
    </row>
    <row r="17" spans="1:3" ht="12.75">
      <c r="A17" s="2" t="s">
        <v>535</v>
      </c>
      <c r="B17" s="104" t="s">
        <v>1683</v>
      </c>
      <c r="C17" s="257" t="s">
        <v>1808</v>
      </c>
    </row>
    <row r="18" spans="1:3" ht="12.75">
      <c r="A18" s="2" t="s">
        <v>535</v>
      </c>
      <c r="B18" s="104" t="s">
        <v>538</v>
      </c>
      <c r="C18" s="257"/>
    </row>
    <row r="19" spans="1:3" ht="12.75">
      <c r="A19" s="2" t="s">
        <v>535</v>
      </c>
      <c r="B19" s="104" t="s">
        <v>1684</v>
      </c>
      <c r="C19" s="257" t="s">
        <v>1808</v>
      </c>
    </row>
    <row r="20" spans="1:3" ht="12.75">
      <c r="A20" s="2" t="s">
        <v>535</v>
      </c>
      <c r="B20" s="104" t="s">
        <v>1685</v>
      </c>
      <c r="C20" s="257"/>
    </row>
    <row r="22" spans="1:7" ht="12.75" customHeight="1">
      <c r="A22" s="2" t="s">
        <v>536</v>
      </c>
      <c r="B22" s="448"/>
      <c r="C22" s="449"/>
      <c r="D22" s="450"/>
      <c r="E22" s="35" t="s">
        <v>175</v>
      </c>
      <c r="F22" s="35" t="s">
        <v>176</v>
      </c>
      <c r="G22" s="31"/>
    </row>
    <row r="23" spans="1:7" ht="40.5" customHeight="1">
      <c r="A23" s="2" t="s">
        <v>536</v>
      </c>
      <c r="B23" s="407" t="s">
        <v>1686</v>
      </c>
      <c r="C23" s="451"/>
      <c r="D23" s="452"/>
      <c r="E23" s="276" t="s">
        <v>1808</v>
      </c>
      <c r="F23" s="276"/>
      <c r="G23" s="31"/>
    </row>
    <row r="24" spans="1:7" ht="25.5">
      <c r="A24" s="2"/>
      <c r="B24" s="272"/>
      <c r="C24" s="262"/>
      <c r="D24" s="262"/>
      <c r="E24" s="31" t="s">
        <v>1189</v>
      </c>
      <c r="F24" s="284" t="s">
        <v>1190</v>
      </c>
      <c r="G24" s="31"/>
    </row>
    <row r="25" spans="1:7" ht="24.75" customHeight="1">
      <c r="A25" s="2" t="s">
        <v>536</v>
      </c>
      <c r="B25" s="438" t="s">
        <v>539</v>
      </c>
      <c r="C25" s="438"/>
      <c r="D25" s="438"/>
      <c r="E25" s="276">
        <v>15</v>
      </c>
      <c r="F25" s="259" t="s">
        <v>1192</v>
      </c>
      <c r="G25" s="31"/>
    </row>
    <row r="27" spans="1:6" ht="12.75">
      <c r="A27" s="2" t="s">
        <v>537</v>
      </c>
      <c r="B27" s="521" t="s">
        <v>1602</v>
      </c>
      <c r="C27" s="522"/>
      <c r="D27" s="522"/>
      <c r="E27" s="522"/>
      <c r="F27" s="79"/>
    </row>
    <row r="28" spans="1:7" ht="22.5">
      <c r="A28" s="2" t="s">
        <v>537</v>
      </c>
      <c r="B28" s="106"/>
      <c r="C28" s="107" t="s">
        <v>1603</v>
      </c>
      <c r="D28" s="107" t="s">
        <v>1604</v>
      </c>
      <c r="E28" s="107" t="s">
        <v>1605</v>
      </c>
      <c r="F28" s="107" t="s">
        <v>1606</v>
      </c>
      <c r="G28" s="107" t="s">
        <v>1607</v>
      </c>
    </row>
    <row r="29" spans="1:7" ht="12.75">
      <c r="A29" s="2" t="s">
        <v>537</v>
      </c>
      <c r="B29" s="8" t="s">
        <v>1608</v>
      </c>
      <c r="C29" s="266" t="s">
        <v>1808</v>
      </c>
      <c r="D29" s="266"/>
      <c r="E29" s="266"/>
      <c r="F29" s="266"/>
      <c r="G29" s="266"/>
    </row>
    <row r="30" spans="1:7" ht="12.75">
      <c r="A30" s="2" t="s">
        <v>537</v>
      </c>
      <c r="B30" s="8" t="s">
        <v>1609</v>
      </c>
      <c r="C30" s="276" t="s">
        <v>1808</v>
      </c>
      <c r="D30" s="276"/>
      <c r="E30" s="276"/>
      <c r="F30" s="276"/>
      <c r="G30" s="276"/>
    </row>
    <row r="31" spans="1:7" ht="25.5">
      <c r="A31" s="2" t="s">
        <v>537</v>
      </c>
      <c r="B31" s="8" t="s">
        <v>1610</v>
      </c>
      <c r="C31" s="276" t="s">
        <v>1808</v>
      </c>
      <c r="D31" s="276"/>
      <c r="E31" s="276"/>
      <c r="F31" s="276"/>
      <c r="G31" s="276"/>
    </row>
    <row r="32" spans="1:7" ht="12.75">
      <c r="A32" s="2" t="s">
        <v>537</v>
      </c>
      <c r="B32" s="8" t="s">
        <v>267</v>
      </c>
      <c r="C32" s="276"/>
      <c r="D32" s="276"/>
      <c r="E32" s="276"/>
      <c r="F32" s="276"/>
      <c r="G32" s="276" t="s">
        <v>1808</v>
      </c>
    </row>
    <row r="33" spans="1:7" ht="12.75">
      <c r="A33" s="2" t="s">
        <v>537</v>
      </c>
      <c r="B33" s="8" t="s">
        <v>265</v>
      </c>
      <c r="C33" s="276"/>
      <c r="D33" s="276"/>
      <c r="E33" s="276"/>
      <c r="F33" s="276" t="s">
        <v>1808</v>
      </c>
      <c r="G33" s="276"/>
    </row>
    <row r="34" spans="1:7" ht="40.5" customHeight="1">
      <c r="A34" s="2" t="s">
        <v>537</v>
      </c>
      <c r="B34" s="8" t="s">
        <v>1611</v>
      </c>
      <c r="C34" s="276" t="s">
        <v>1808</v>
      </c>
      <c r="D34" s="276"/>
      <c r="E34" s="276"/>
      <c r="F34" s="276"/>
      <c r="G34" s="276"/>
    </row>
    <row r="36" spans="1:7" ht="27" customHeight="1">
      <c r="A36" s="2" t="s">
        <v>542</v>
      </c>
      <c r="B36" s="438" t="s">
        <v>540</v>
      </c>
      <c r="C36" s="438"/>
      <c r="D36" s="438"/>
      <c r="E36" s="285"/>
      <c r="F36" s="69"/>
      <c r="G36" s="31"/>
    </row>
    <row r="38" spans="1:7" ht="26.25" customHeight="1">
      <c r="A38" s="2" t="s">
        <v>543</v>
      </c>
      <c r="B38" s="438" t="s">
        <v>541</v>
      </c>
      <c r="C38" s="438"/>
      <c r="D38" s="438"/>
      <c r="E38" s="285">
        <v>3</v>
      </c>
      <c r="F38" s="69"/>
      <c r="G38" s="31"/>
    </row>
    <row r="40" spans="1:7" ht="12.75" customHeight="1">
      <c r="A40" s="2" t="s">
        <v>544</v>
      </c>
      <c r="B40" s="431" t="s">
        <v>168</v>
      </c>
      <c r="C40" s="432"/>
      <c r="D40" s="432"/>
      <c r="E40" s="432"/>
      <c r="F40" s="432"/>
      <c r="G40" s="433"/>
    </row>
    <row r="41" spans="1:7" ht="26.25" customHeight="1">
      <c r="A41" s="2"/>
      <c r="B41" s="525" t="s">
        <v>155</v>
      </c>
      <c r="C41" s="526"/>
      <c r="D41" s="526"/>
      <c r="E41" s="526"/>
      <c r="F41" s="526"/>
      <c r="G41" s="527"/>
    </row>
    <row r="43" spans="1:7" ht="37.5" customHeight="1">
      <c r="A43" s="2" t="s">
        <v>859</v>
      </c>
      <c r="B43" s="524" t="s">
        <v>858</v>
      </c>
      <c r="C43" s="524"/>
      <c r="D43" s="524"/>
      <c r="E43" s="524"/>
      <c r="F43" s="524"/>
      <c r="G43" s="524"/>
    </row>
    <row r="44" spans="1:7" ht="22.5">
      <c r="A44" s="2" t="s">
        <v>859</v>
      </c>
      <c r="B44" s="106"/>
      <c r="C44" s="193" t="s">
        <v>169</v>
      </c>
      <c r="D44" s="193" t="s">
        <v>170</v>
      </c>
      <c r="E44" s="193" t="s">
        <v>171</v>
      </c>
      <c r="F44" s="193" t="s">
        <v>172</v>
      </c>
      <c r="G44" s="193" t="s">
        <v>173</v>
      </c>
    </row>
    <row r="45" spans="1:7" ht="12.75">
      <c r="A45" s="2" t="s">
        <v>859</v>
      </c>
      <c r="B45" s="9" t="s">
        <v>1683</v>
      </c>
      <c r="C45" s="286"/>
      <c r="D45" s="286">
        <v>39128</v>
      </c>
      <c r="E45" s="286">
        <v>39187</v>
      </c>
      <c r="F45" s="286">
        <v>39203</v>
      </c>
      <c r="G45" s="257"/>
    </row>
    <row r="46" spans="1:7" ht="12.75">
      <c r="A46" s="2" t="s">
        <v>859</v>
      </c>
      <c r="B46" s="9" t="s">
        <v>538</v>
      </c>
      <c r="C46" s="286"/>
      <c r="D46" s="286"/>
      <c r="E46" s="286"/>
      <c r="F46" s="286"/>
      <c r="G46" s="257"/>
    </row>
    <row r="47" spans="1:7" ht="12.75">
      <c r="A47" s="2" t="s">
        <v>859</v>
      </c>
      <c r="B47" s="9" t="s">
        <v>1684</v>
      </c>
      <c r="C47" s="286"/>
      <c r="D47" s="286">
        <v>39387</v>
      </c>
      <c r="E47" s="286">
        <v>39421</v>
      </c>
      <c r="F47" s="286">
        <v>39087</v>
      </c>
      <c r="G47" s="257"/>
    </row>
    <row r="48" spans="1:7" ht="12.75">
      <c r="A48" s="2" t="s">
        <v>859</v>
      </c>
      <c r="B48" s="9" t="s">
        <v>1685</v>
      </c>
      <c r="C48" s="286"/>
      <c r="D48" s="286"/>
      <c r="E48" s="286"/>
      <c r="F48" s="286"/>
      <c r="G48" s="257"/>
    </row>
    <row r="50" spans="1:7" ht="12.75" customHeight="1">
      <c r="A50" s="2" t="s">
        <v>860</v>
      </c>
      <c r="B50" s="448"/>
      <c r="C50" s="449"/>
      <c r="D50" s="450"/>
      <c r="E50" s="35" t="s">
        <v>175</v>
      </c>
      <c r="F50" s="35" t="s">
        <v>176</v>
      </c>
      <c r="G50" s="102"/>
    </row>
    <row r="51" spans="1:7" ht="26.25" customHeight="1">
      <c r="A51" s="2" t="s">
        <v>860</v>
      </c>
      <c r="B51" s="407" t="s">
        <v>801</v>
      </c>
      <c r="C51" s="451"/>
      <c r="D51" s="452"/>
      <c r="E51" s="276"/>
      <c r="F51" s="276"/>
      <c r="G51" s="49"/>
    </row>
    <row r="52" spans="2:6" ht="12.75">
      <c r="B52" s="87"/>
      <c r="C52" s="87"/>
      <c r="D52" s="87"/>
      <c r="E52" s="98"/>
      <c r="F52" s="98"/>
    </row>
    <row r="53" spans="1:7" ht="12.75" customHeight="1">
      <c r="A53" s="2" t="s">
        <v>861</v>
      </c>
      <c r="B53" s="431" t="s">
        <v>862</v>
      </c>
      <c r="C53" s="432"/>
      <c r="D53" s="432"/>
      <c r="E53" s="432"/>
      <c r="F53" s="432"/>
      <c r="G53" s="433"/>
    </row>
    <row r="54" spans="1:7" ht="30.75" customHeight="1">
      <c r="A54" s="2"/>
      <c r="B54" s="518"/>
      <c r="C54" s="519"/>
      <c r="D54" s="519"/>
      <c r="E54" s="519"/>
      <c r="F54" s="519"/>
      <c r="G54" s="520"/>
    </row>
    <row r="56" spans="2:3" ht="15.75">
      <c r="B56" s="523" t="s">
        <v>863</v>
      </c>
      <c r="C56" s="369"/>
    </row>
    <row r="57" spans="1:7" ht="27.75" customHeight="1">
      <c r="A57" s="2" t="s">
        <v>864</v>
      </c>
      <c r="B57" s="438" t="s">
        <v>865</v>
      </c>
      <c r="C57" s="438"/>
      <c r="D57" s="438"/>
      <c r="E57" s="276" t="s">
        <v>156</v>
      </c>
      <c r="G57" s="31"/>
    </row>
    <row r="59" spans="1:6" ht="12.75">
      <c r="A59" s="2" t="s">
        <v>974</v>
      </c>
      <c r="B59" s="448"/>
      <c r="C59" s="449"/>
      <c r="D59" s="450"/>
      <c r="E59" s="35" t="s">
        <v>802</v>
      </c>
      <c r="F59" s="35" t="s">
        <v>866</v>
      </c>
    </row>
    <row r="60" spans="1:6" ht="26.25" customHeight="1">
      <c r="A60" s="2" t="s">
        <v>974</v>
      </c>
      <c r="B60" s="407" t="s">
        <v>973</v>
      </c>
      <c r="C60" s="451"/>
      <c r="D60" s="452"/>
      <c r="E60" s="276"/>
      <c r="F60" s="276"/>
    </row>
    <row r="62" spans="1:6" ht="12.75">
      <c r="A62" s="2" t="s">
        <v>976</v>
      </c>
      <c r="B62" s="448"/>
      <c r="C62" s="449"/>
      <c r="D62" s="450"/>
      <c r="E62" s="35" t="s">
        <v>802</v>
      </c>
      <c r="F62" s="35" t="s">
        <v>866</v>
      </c>
    </row>
    <row r="63" spans="1:6" ht="27" customHeight="1">
      <c r="A63" s="2" t="s">
        <v>976</v>
      </c>
      <c r="B63" s="407" t="s">
        <v>975</v>
      </c>
      <c r="C63" s="451"/>
      <c r="D63" s="452"/>
      <c r="E63" s="276"/>
      <c r="F63" s="276"/>
    </row>
    <row r="64" spans="2:7" ht="12.75">
      <c r="B64" s="6"/>
      <c r="C64" s="6"/>
      <c r="D64" s="6"/>
      <c r="E64" s="6"/>
      <c r="F64" s="6"/>
      <c r="G64" s="6"/>
    </row>
    <row r="65" spans="1:7" ht="27.75" customHeight="1">
      <c r="A65" s="2" t="s">
        <v>977</v>
      </c>
      <c r="B65" s="438" t="s">
        <v>803</v>
      </c>
      <c r="C65" s="438"/>
      <c r="D65" s="438"/>
      <c r="E65" s="276"/>
      <c r="F65" s="30"/>
      <c r="G65" s="31"/>
    </row>
    <row r="66" spans="1:7" ht="12.75">
      <c r="A66" s="2"/>
      <c r="B66" s="30"/>
      <c r="C66" s="30"/>
      <c r="D66" s="30"/>
      <c r="E66" s="30"/>
      <c r="F66" s="30"/>
      <c r="G66" s="31"/>
    </row>
    <row r="67" spans="1:7" ht="26.25" customHeight="1">
      <c r="A67" s="2" t="s">
        <v>978</v>
      </c>
      <c r="B67" s="438" t="s">
        <v>979</v>
      </c>
      <c r="C67" s="438"/>
      <c r="D67" s="438"/>
      <c r="E67" s="276">
        <v>60</v>
      </c>
      <c r="F67" s="30"/>
      <c r="G67" s="31"/>
    </row>
    <row r="68" spans="1:7" ht="12.75">
      <c r="A68" s="2"/>
      <c r="B68" s="30"/>
      <c r="C68" s="30"/>
      <c r="D68" s="30"/>
      <c r="E68" s="30"/>
      <c r="F68" s="30"/>
      <c r="G68" s="31"/>
    </row>
    <row r="69" spans="1:7" ht="12.75" customHeight="1">
      <c r="A69" s="2" t="s">
        <v>980</v>
      </c>
      <c r="B69" s="431" t="s">
        <v>804</v>
      </c>
      <c r="C69" s="432"/>
      <c r="D69" s="432"/>
      <c r="E69" s="432"/>
      <c r="F69" s="432"/>
      <c r="G69" s="433"/>
    </row>
    <row r="70" spans="1:7" ht="22.5" customHeight="1">
      <c r="A70" s="2"/>
      <c r="B70" s="518"/>
      <c r="C70" s="519"/>
      <c r="D70" s="519"/>
      <c r="E70" s="519"/>
      <c r="F70" s="519"/>
      <c r="G70" s="520"/>
    </row>
  </sheetData>
  <sheetProtection/>
  <mergeCells count="30">
    <mergeCell ref="A2:G2"/>
    <mergeCell ref="A1:G1"/>
    <mergeCell ref="B25:D25"/>
    <mergeCell ref="B15:C15"/>
    <mergeCell ref="B22:D22"/>
    <mergeCell ref="B23:D23"/>
    <mergeCell ref="B5:D5"/>
    <mergeCell ref="B6:D6"/>
    <mergeCell ref="B7:D7"/>
    <mergeCell ref="B9:G9"/>
    <mergeCell ref="B27:E27"/>
    <mergeCell ref="B36:D36"/>
    <mergeCell ref="B40:G40"/>
    <mergeCell ref="B69:G69"/>
    <mergeCell ref="B56:C56"/>
    <mergeCell ref="B38:D38"/>
    <mergeCell ref="B43:G43"/>
    <mergeCell ref="B41:G41"/>
    <mergeCell ref="B53:G53"/>
    <mergeCell ref="B54:G54"/>
    <mergeCell ref="B50:D50"/>
    <mergeCell ref="B51:D51"/>
    <mergeCell ref="B70:G70"/>
    <mergeCell ref="B57:D57"/>
    <mergeCell ref="B59:D59"/>
    <mergeCell ref="B60:D60"/>
    <mergeCell ref="B62:D62"/>
    <mergeCell ref="B63:D63"/>
    <mergeCell ref="B65:D65"/>
    <mergeCell ref="B67:D6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C40"/>
  <sheetViews>
    <sheetView zoomScalePageLayoutView="0" workbookViewId="0" topLeftCell="A1">
      <selection activeCell="A1" sqref="A1:C40"/>
    </sheetView>
  </sheetViews>
  <sheetFormatPr defaultColWidth="9.140625" defaultRowHeight="12.75"/>
  <cols>
    <col min="1" max="1" width="4.421875" style="1" customWidth="1"/>
    <col min="2" max="2" width="66.28125" style="0" customWidth="1"/>
    <col min="3" max="3" width="12.7109375" style="0" customWidth="1"/>
  </cols>
  <sheetData>
    <row r="1" spans="1:3" ht="23.25">
      <c r="A1" s="397" t="s">
        <v>1972</v>
      </c>
      <c r="B1" s="397"/>
      <c r="C1" s="397"/>
    </row>
    <row r="2" spans="1:3" ht="18">
      <c r="A2" s="398" t="s">
        <v>773</v>
      </c>
      <c r="B2" s="398"/>
      <c r="C2" s="398"/>
    </row>
    <row r="3" spans="1:3" ht="28.5" customHeight="1">
      <c r="A3" s="2" t="s">
        <v>526</v>
      </c>
      <c r="B3" s="417" t="s">
        <v>774</v>
      </c>
      <c r="C3" s="418"/>
    </row>
    <row r="4" spans="1:3" ht="12.75">
      <c r="A4" s="2" t="s">
        <v>526</v>
      </c>
      <c r="B4" s="9" t="s">
        <v>775</v>
      </c>
      <c r="C4" s="287" t="s">
        <v>1808</v>
      </c>
    </row>
    <row r="5" spans="1:3" ht="12.75">
      <c r="A5" s="2" t="s">
        <v>526</v>
      </c>
      <c r="B5" s="9" t="s">
        <v>1404</v>
      </c>
      <c r="C5" s="287"/>
    </row>
    <row r="6" spans="1:3" ht="12.75">
      <c r="A6" s="2" t="s">
        <v>526</v>
      </c>
      <c r="B6" s="9" t="s">
        <v>776</v>
      </c>
      <c r="C6" s="287"/>
    </row>
    <row r="7" spans="1:3" ht="12.75">
      <c r="A7" s="2" t="s">
        <v>526</v>
      </c>
      <c r="B7" s="9" t="s">
        <v>777</v>
      </c>
      <c r="C7" s="287"/>
    </row>
    <row r="8" spans="1:3" ht="12.75">
      <c r="A8" s="2" t="s">
        <v>526</v>
      </c>
      <c r="B8" s="9" t="s">
        <v>778</v>
      </c>
      <c r="C8" s="287" t="s">
        <v>1808</v>
      </c>
    </row>
    <row r="9" spans="1:3" ht="12.75">
      <c r="A9" s="2" t="s">
        <v>526</v>
      </c>
      <c r="B9" s="9" t="s">
        <v>779</v>
      </c>
      <c r="C9" s="287" t="s">
        <v>1808</v>
      </c>
    </row>
    <row r="10" spans="1:3" ht="12.75">
      <c r="A10" s="2" t="s">
        <v>526</v>
      </c>
      <c r="B10" s="9" t="s">
        <v>780</v>
      </c>
      <c r="C10" s="287"/>
    </row>
    <row r="11" spans="1:3" ht="12.75">
      <c r="A11" s="2" t="s">
        <v>526</v>
      </c>
      <c r="B11" s="9" t="s">
        <v>781</v>
      </c>
      <c r="C11" s="287" t="s">
        <v>1808</v>
      </c>
    </row>
    <row r="12" spans="1:3" ht="12.75">
      <c r="A12" s="2" t="s">
        <v>526</v>
      </c>
      <c r="B12" s="9" t="s">
        <v>782</v>
      </c>
      <c r="C12" s="287"/>
    </row>
    <row r="13" spans="1:3" ht="12.75">
      <c r="A13" s="2" t="s">
        <v>526</v>
      </c>
      <c r="B13" s="9" t="s">
        <v>783</v>
      </c>
      <c r="C13" s="287" t="s">
        <v>1808</v>
      </c>
    </row>
    <row r="14" spans="1:3" ht="12.75">
      <c r="A14" s="2" t="s">
        <v>526</v>
      </c>
      <c r="B14" s="9" t="s">
        <v>784</v>
      </c>
      <c r="C14" s="287" t="s">
        <v>1808</v>
      </c>
    </row>
    <row r="15" spans="1:3" ht="12.75">
      <c r="A15" s="2" t="s">
        <v>526</v>
      </c>
      <c r="B15" s="9" t="s">
        <v>785</v>
      </c>
      <c r="C15" s="287" t="s">
        <v>1808</v>
      </c>
    </row>
    <row r="16" spans="1:3" ht="12.75">
      <c r="A16" s="2" t="s">
        <v>526</v>
      </c>
      <c r="B16" s="9" t="s">
        <v>786</v>
      </c>
      <c r="C16" s="287"/>
    </row>
    <row r="17" spans="1:3" ht="12.75">
      <c r="A17" s="2" t="s">
        <v>526</v>
      </c>
      <c r="B17" s="9" t="s">
        <v>787</v>
      </c>
      <c r="C17" s="287" t="s">
        <v>1808</v>
      </c>
    </row>
    <row r="18" spans="1:3" ht="12.75">
      <c r="A18" s="2" t="s">
        <v>526</v>
      </c>
      <c r="B18" s="9" t="s">
        <v>788</v>
      </c>
      <c r="C18" s="287" t="s">
        <v>1808</v>
      </c>
    </row>
    <row r="19" spans="1:3" ht="12.75">
      <c r="A19" s="2" t="s">
        <v>526</v>
      </c>
      <c r="B19" s="9" t="s">
        <v>789</v>
      </c>
      <c r="C19" s="287" t="s">
        <v>1808</v>
      </c>
    </row>
    <row r="20" spans="1:3" ht="12.75">
      <c r="A20" s="2" t="s">
        <v>526</v>
      </c>
      <c r="B20" s="9" t="s">
        <v>790</v>
      </c>
      <c r="C20" s="287"/>
    </row>
    <row r="21" spans="1:3" ht="12.75">
      <c r="A21" s="2" t="s">
        <v>526</v>
      </c>
      <c r="B21" s="493" t="s">
        <v>791</v>
      </c>
      <c r="C21" s="494"/>
    </row>
    <row r="22" spans="2:3" ht="12.75">
      <c r="B22" s="464"/>
      <c r="C22" s="380"/>
    </row>
    <row r="23" spans="2:3" ht="12.75">
      <c r="B23" s="6"/>
      <c r="C23" s="6"/>
    </row>
    <row r="24" spans="1:2" ht="12.75">
      <c r="A24" s="2" t="s">
        <v>527</v>
      </c>
      <c r="B24" s="3" t="s">
        <v>1670</v>
      </c>
    </row>
    <row r="26" spans="1:3" ht="24.75" customHeight="1">
      <c r="A26" s="80" t="s">
        <v>528</v>
      </c>
      <c r="B26" s="30" t="s">
        <v>792</v>
      </c>
      <c r="C26" s="30"/>
    </row>
    <row r="27" spans="1:3" ht="12.75">
      <c r="A27" s="80" t="s">
        <v>528</v>
      </c>
      <c r="B27" s="9" t="s">
        <v>793</v>
      </c>
      <c r="C27" s="287" t="s">
        <v>1808</v>
      </c>
    </row>
    <row r="28" spans="1:3" ht="12.75">
      <c r="A28" s="80" t="s">
        <v>528</v>
      </c>
      <c r="B28" s="9" t="s">
        <v>794</v>
      </c>
      <c r="C28" s="287" t="s">
        <v>1808</v>
      </c>
    </row>
    <row r="29" spans="1:3" ht="12.75">
      <c r="A29" s="80" t="s">
        <v>528</v>
      </c>
      <c r="B29" s="9" t="s">
        <v>795</v>
      </c>
      <c r="C29" s="287" t="s">
        <v>1808</v>
      </c>
    </row>
    <row r="30" spans="1:3" ht="12.75">
      <c r="A30" s="80" t="s">
        <v>528</v>
      </c>
      <c r="B30" s="9" t="s">
        <v>796</v>
      </c>
      <c r="C30" s="287" t="s">
        <v>1808</v>
      </c>
    </row>
    <row r="31" spans="1:3" ht="12.75">
      <c r="A31" s="80" t="s">
        <v>528</v>
      </c>
      <c r="B31" s="9" t="s">
        <v>254</v>
      </c>
      <c r="C31" s="287" t="s">
        <v>1808</v>
      </c>
    </row>
    <row r="32" spans="1:3" ht="12.75">
      <c r="A32" s="80" t="s">
        <v>528</v>
      </c>
      <c r="B32" s="9" t="s">
        <v>797</v>
      </c>
      <c r="C32" s="287" t="s">
        <v>1808</v>
      </c>
    </row>
    <row r="33" spans="1:3" ht="12.75">
      <c r="A33" s="80" t="s">
        <v>528</v>
      </c>
      <c r="B33" s="9" t="s">
        <v>250</v>
      </c>
      <c r="C33" s="287" t="s">
        <v>1808</v>
      </c>
    </row>
    <row r="34" spans="1:3" ht="12.75">
      <c r="A34" s="80" t="s">
        <v>528</v>
      </c>
      <c r="B34" s="9" t="s">
        <v>798</v>
      </c>
      <c r="C34" s="287" t="s">
        <v>1808</v>
      </c>
    </row>
    <row r="35" spans="1:3" ht="12.75">
      <c r="A35" s="80" t="s">
        <v>528</v>
      </c>
      <c r="B35" s="9" t="s">
        <v>799</v>
      </c>
      <c r="C35" s="287" t="s">
        <v>1808</v>
      </c>
    </row>
    <row r="36" spans="1:3" ht="12.75">
      <c r="A36" s="80" t="s">
        <v>528</v>
      </c>
      <c r="B36" s="9" t="s">
        <v>800</v>
      </c>
      <c r="C36" s="287" t="s">
        <v>1808</v>
      </c>
    </row>
    <row r="37" spans="1:3" ht="12.75">
      <c r="A37" s="80" t="s">
        <v>528</v>
      </c>
      <c r="B37" s="493" t="s">
        <v>1499</v>
      </c>
      <c r="C37" s="494"/>
    </row>
    <row r="38" spans="2:3" ht="12.75">
      <c r="B38" s="500"/>
      <c r="C38" s="380"/>
    </row>
    <row r="40" ht="28.5">
      <c r="B40" s="249" t="s">
        <v>1812</v>
      </c>
    </row>
  </sheetData>
  <sheetProtection/>
  <mergeCells count="7">
    <mergeCell ref="B38:C38"/>
    <mergeCell ref="B21:C21"/>
    <mergeCell ref="B37:C37"/>
    <mergeCell ref="A1:C1"/>
    <mergeCell ref="A2:C2"/>
    <mergeCell ref="B3:C3"/>
    <mergeCell ref="B22:C22"/>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H55"/>
  <sheetViews>
    <sheetView zoomScalePageLayoutView="0" workbookViewId="0" topLeftCell="A1">
      <selection activeCell="F17" sqref="F1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7" ht="23.25">
      <c r="A1" s="397" t="s">
        <v>1972</v>
      </c>
      <c r="B1" s="397"/>
      <c r="C1" s="397"/>
      <c r="D1" s="397"/>
      <c r="E1" s="397"/>
      <c r="F1" s="397"/>
      <c r="G1" s="397"/>
    </row>
    <row r="2" spans="1:6" ht="18">
      <c r="A2" s="398" t="s">
        <v>981</v>
      </c>
      <c r="B2" s="398"/>
      <c r="C2" s="398"/>
      <c r="D2" s="398"/>
      <c r="E2" s="386"/>
      <c r="F2" s="386"/>
    </row>
    <row r="4" spans="1:6" ht="28.5" customHeight="1">
      <c r="A4" s="2" t="s">
        <v>1556</v>
      </c>
      <c r="B4" s="524" t="s">
        <v>982</v>
      </c>
      <c r="C4" s="524"/>
      <c r="D4" s="524"/>
      <c r="E4" s="541"/>
      <c r="F4" s="541"/>
    </row>
    <row r="5" spans="1:6" ht="37.5" customHeight="1">
      <c r="A5" s="2" t="s">
        <v>1556</v>
      </c>
      <c r="B5" s="470"/>
      <c r="C5" s="479"/>
      <c r="D5" s="479"/>
      <c r="E5" s="114" t="s">
        <v>300</v>
      </c>
      <c r="F5" s="109" t="s">
        <v>1279</v>
      </c>
    </row>
    <row r="6" spans="1:6" ht="39.75" customHeight="1">
      <c r="A6" s="2" t="s">
        <v>1556</v>
      </c>
      <c r="B6" s="406" t="s">
        <v>1405</v>
      </c>
      <c r="C6" s="479"/>
      <c r="D6" s="479"/>
      <c r="E6" s="288">
        <v>0.33</v>
      </c>
      <c r="F6" s="289">
        <v>0.31</v>
      </c>
    </row>
    <row r="7" spans="1:6" ht="12.75">
      <c r="A7" s="2" t="s">
        <v>1556</v>
      </c>
      <c r="B7" s="406" t="s">
        <v>1193</v>
      </c>
      <c r="C7" s="479"/>
      <c r="D7" s="479"/>
      <c r="E7" s="270">
        <f>86/618</f>
        <v>0.13915857605177995</v>
      </c>
      <c r="F7" s="289">
        <v>0.223</v>
      </c>
    </row>
    <row r="8" spans="1:6" ht="12.75">
      <c r="A8" s="2" t="s">
        <v>1556</v>
      </c>
      <c r="B8" s="406" t="s">
        <v>1194</v>
      </c>
      <c r="C8" s="479"/>
      <c r="D8" s="479"/>
      <c r="E8" s="270">
        <f>124/602</f>
        <v>0.2059800664451827</v>
      </c>
      <c r="F8" s="289">
        <v>0.2745</v>
      </c>
    </row>
    <row r="9" spans="1:6" ht="24.75" customHeight="1">
      <c r="A9" s="2" t="s">
        <v>1556</v>
      </c>
      <c r="B9" s="406" t="s">
        <v>1195</v>
      </c>
      <c r="C9" s="479"/>
      <c r="D9" s="479"/>
      <c r="E9" s="270">
        <v>1</v>
      </c>
      <c r="F9" s="289">
        <v>0.75</v>
      </c>
    </row>
    <row r="10" spans="1:6" ht="12.75">
      <c r="A10" s="2" t="s">
        <v>1556</v>
      </c>
      <c r="B10" s="406" t="s">
        <v>1196</v>
      </c>
      <c r="C10" s="479"/>
      <c r="D10" s="479"/>
      <c r="E10" s="270">
        <v>0</v>
      </c>
      <c r="F10" s="289">
        <v>0.25</v>
      </c>
    </row>
    <row r="11" spans="1:6" ht="12.75">
      <c r="A11" s="2" t="s">
        <v>1556</v>
      </c>
      <c r="B11" s="406" t="s">
        <v>1197</v>
      </c>
      <c r="C11" s="479"/>
      <c r="D11" s="479"/>
      <c r="E11" s="270">
        <f>1/5792</f>
        <v>0.00017265193370165745</v>
      </c>
      <c r="F11" s="289">
        <f>97/5706</f>
        <v>0.016999649491763056</v>
      </c>
    </row>
    <row r="12" spans="1:6" ht="12.75">
      <c r="A12" s="2" t="s">
        <v>1556</v>
      </c>
      <c r="B12" s="406" t="s">
        <v>1198</v>
      </c>
      <c r="C12" s="479"/>
      <c r="D12" s="479"/>
      <c r="E12" s="290">
        <v>18</v>
      </c>
      <c r="F12" s="290">
        <v>20</v>
      </c>
    </row>
    <row r="13" spans="1:6" ht="12.75">
      <c r="A13" s="2" t="s">
        <v>1556</v>
      </c>
      <c r="B13" s="406" t="s">
        <v>1199</v>
      </c>
      <c r="C13" s="479"/>
      <c r="D13" s="479"/>
      <c r="E13" s="290">
        <v>18</v>
      </c>
      <c r="F13" s="290">
        <v>20</v>
      </c>
    </row>
    <row r="15" spans="1:6" ht="12.75">
      <c r="A15" s="2" t="s">
        <v>1555</v>
      </c>
      <c r="B15" s="529" t="s">
        <v>301</v>
      </c>
      <c r="C15" s="368"/>
      <c r="D15" s="368"/>
      <c r="E15" s="540"/>
      <c r="F15" s="540"/>
    </row>
    <row r="16" spans="1:3" ht="12.75">
      <c r="A16" s="2" t="s">
        <v>1555</v>
      </c>
      <c r="B16" s="356" t="s">
        <v>1878</v>
      </c>
      <c r="C16" s="287" t="s">
        <v>1808</v>
      </c>
    </row>
    <row r="17" spans="1:3" ht="12.75">
      <c r="A17" s="2" t="s">
        <v>1555</v>
      </c>
      <c r="B17" s="8" t="s">
        <v>1200</v>
      </c>
      <c r="C17" s="287" t="s">
        <v>1808</v>
      </c>
    </row>
    <row r="18" spans="1:3" ht="12.75">
      <c r="A18" s="2" t="s">
        <v>1555</v>
      </c>
      <c r="B18" s="8" t="s">
        <v>1201</v>
      </c>
      <c r="C18" s="287" t="s">
        <v>1808</v>
      </c>
    </row>
    <row r="19" spans="1:3" ht="12.75">
      <c r="A19" s="2" t="s">
        <v>1555</v>
      </c>
      <c r="B19" s="8" t="s">
        <v>1527</v>
      </c>
      <c r="C19" s="287" t="s">
        <v>1808</v>
      </c>
    </row>
    <row r="20" spans="1:3" ht="12.75">
      <c r="A20" s="2" t="s">
        <v>1555</v>
      </c>
      <c r="B20" s="8" t="s">
        <v>1528</v>
      </c>
      <c r="C20" s="287" t="s">
        <v>1808</v>
      </c>
    </row>
    <row r="21" spans="1:3" ht="25.5">
      <c r="A21" s="2" t="s">
        <v>1555</v>
      </c>
      <c r="B21" s="357" t="s">
        <v>1879</v>
      </c>
      <c r="C21" s="287" t="s">
        <v>1808</v>
      </c>
    </row>
    <row r="22" spans="1:3" ht="12.75">
      <c r="A22" s="2" t="s">
        <v>1555</v>
      </c>
      <c r="B22" s="8" t="s">
        <v>1529</v>
      </c>
      <c r="C22" s="287" t="s">
        <v>1808</v>
      </c>
    </row>
    <row r="23" spans="1:3" ht="12.75">
      <c r="A23" s="2" t="s">
        <v>1555</v>
      </c>
      <c r="B23" s="8" t="s">
        <v>1530</v>
      </c>
      <c r="C23" s="287" t="s">
        <v>1808</v>
      </c>
    </row>
    <row r="24" spans="1:3" ht="12.75">
      <c r="A24" s="2" t="s">
        <v>1555</v>
      </c>
      <c r="B24" s="8" t="s">
        <v>1531</v>
      </c>
      <c r="C24" s="287"/>
    </row>
    <row r="25" spans="1:3" ht="12.75">
      <c r="A25" s="2" t="s">
        <v>1555</v>
      </c>
      <c r="B25" s="349" t="s">
        <v>1880</v>
      </c>
      <c r="C25" s="287" t="s">
        <v>1808</v>
      </c>
    </row>
    <row r="26" spans="1:3" ht="12.75">
      <c r="A26" s="2" t="s">
        <v>1555</v>
      </c>
      <c r="B26" s="8" t="s">
        <v>1532</v>
      </c>
      <c r="C26" s="287" t="s">
        <v>1808</v>
      </c>
    </row>
    <row r="27" spans="1:3" ht="12.75">
      <c r="A27" s="2" t="s">
        <v>1555</v>
      </c>
      <c r="B27" s="8" t="s">
        <v>1533</v>
      </c>
      <c r="C27" s="287" t="s">
        <v>1808</v>
      </c>
    </row>
    <row r="28" spans="1:3" ht="12.75">
      <c r="A28" s="2" t="s">
        <v>1555</v>
      </c>
      <c r="B28" s="8" t="s">
        <v>1534</v>
      </c>
      <c r="C28" s="287" t="s">
        <v>1808</v>
      </c>
    </row>
    <row r="29" spans="1:3" ht="12.75">
      <c r="A29" s="2" t="s">
        <v>1555</v>
      </c>
      <c r="B29" s="8" t="s">
        <v>1535</v>
      </c>
      <c r="C29" s="287" t="s">
        <v>1808</v>
      </c>
    </row>
    <row r="30" spans="1:3" ht="12.75">
      <c r="A30" s="2" t="s">
        <v>1555</v>
      </c>
      <c r="B30" s="8" t="s">
        <v>1536</v>
      </c>
      <c r="C30" s="287" t="s">
        <v>1808</v>
      </c>
    </row>
    <row r="31" spans="1:3" ht="12.75">
      <c r="A31" s="2" t="s">
        <v>1555</v>
      </c>
      <c r="B31" s="8" t="s">
        <v>1537</v>
      </c>
      <c r="C31" s="287" t="s">
        <v>1808</v>
      </c>
    </row>
    <row r="32" spans="1:3" ht="12.75">
      <c r="A32" s="2" t="s">
        <v>1555</v>
      </c>
      <c r="B32" s="8" t="s">
        <v>1538</v>
      </c>
      <c r="C32" s="287" t="s">
        <v>1808</v>
      </c>
    </row>
    <row r="33" spans="1:3" ht="12.75">
      <c r="A33" s="2" t="s">
        <v>1555</v>
      </c>
      <c r="B33" s="8" t="s">
        <v>1539</v>
      </c>
      <c r="C33" s="287" t="s">
        <v>1808</v>
      </c>
    </row>
    <row r="34" spans="1:3" ht="12.75">
      <c r="A34" s="2" t="s">
        <v>1555</v>
      </c>
      <c r="B34" s="8" t="s">
        <v>1540</v>
      </c>
      <c r="C34" s="287" t="s">
        <v>1808</v>
      </c>
    </row>
    <row r="35" spans="1:3" ht="12.75">
      <c r="A35" s="2" t="s">
        <v>1555</v>
      </c>
      <c r="B35" s="8" t="s">
        <v>1541</v>
      </c>
      <c r="C35" s="287" t="s">
        <v>1808</v>
      </c>
    </row>
    <row r="36" spans="1:3" ht="12.75">
      <c r="A36" s="2" t="s">
        <v>1555</v>
      </c>
      <c r="B36" s="8" t="s">
        <v>1542</v>
      </c>
      <c r="C36" s="287" t="s">
        <v>1808</v>
      </c>
    </row>
    <row r="38" spans="1:7" ht="12.75">
      <c r="A38" s="2" t="s">
        <v>1554</v>
      </c>
      <c r="B38" s="535" t="s">
        <v>1671</v>
      </c>
      <c r="C38" s="524"/>
      <c r="D38" s="524"/>
      <c r="E38" s="536"/>
      <c r="F38" s="537"/>
      <c r="G38" s="172"/>
    </row>
    <row r="39" spans="1:8" s="110" customFormat="1" ht="25.5">
      <c r="A39" s="2" t="s">
        <v>1554</v>
      </c>
      <c r="B39" s="111"/>
      <c r="C39" s="534" t="s">
        <v>305</v>
      </c>
      <c r="D39" s="534"/>
      <c r="E39" s="112" t="s">
        <v>307</v>
      </c>
      <c r="F39" s="538" t="s">
        <v>306</v>
      </c>
      <c r="G39" s="539"/>
      <c r="H39" s="113"/>
    </row>
    <row r="40" spans="1:8" ht="12.75">
      <c r="A40" s="2" t="s">
        <v>1554</v>
      </c>
      <c r="B40" s="76" t="s">
        <v>302</v>
      </c>
      <c r="C40" s="531" t="s">
        <v>1808</v>
      </c>
      <c r="D40" s="532"/>
      <c r="E40" s="257"/>
      <c r="F40" s="482"/>
      <c r="G40" s="533"/>
      <c r="H40" s="52"/>
    </row>
    <row r="41" spans="1:8" ht="12.75">
      <c r="A41" s="2" t="s">
        <v>1554</v>
      </c>
      <c r="B41" s="76" t="s">
        <v>303</v>
      </c>
      <c r="C41" s="531"/>
      <c r="D41" s="532"/>
      <c r="E41" s="257"/>
      <c r="F41" s="482"/>
      <c r="G41" s="533"/>
      <c r="H41" s="52"/>
    </row>
    <row r="42" spans="1:8" ht="12.75">
      <c r="A42" s="2" t="s">
        <v>1554</v>
      </c>
      <c r="B42" s="76" t="s">
        <v>304</v>
      </c>
      <c r="C42" s="531"/>
      <c r="D42" s="532"/>
      <c r="E42" s="257"/>
      <c r="F42" s="482"/>
      <c r="G42" s="533"/>
      <c r="H42" s="52"/>
    </row>
    <row r="44" spans="1:6" ht="26.25" customHeight="1">
      <c r="A44" s="2" t="s">
        <v>1553</v>
      </c>
      <c r="B44" s="529" t="s">
        <v>308</v>
      </c>
      <c r="C44" s="368"/>
      <c r="D44" s="368"/>
      <c r="E44" s="368"/>
      <c r="F44" s="368"/>
    </row>
    <row r="45" spans="1:3" ht="12.75">
      <c r="A45" s="2" t="s">
        <v>1553</v>
      </c>
      <c r="B45" s="8" t="s">
        <v>1543</v>
      </c>
      <c r="C45" s="287" t="s">
        <v>1808</v>
      </c>
    </row>
    <row r="46" spans="1:3" ht="12.75">
      <c r="A46" s="2" t="s">
        <v>1553</v>
      </c>
      <c r="B46" s="8" t="s">
        <v>1544</v>
      </c>
      <c r="C46" s="287" t="s">
        <v>1808</v>
      </c>
    </row>
    <row r="47" spans="1:3" ht="12.75">
      <c r="A47" s="2" t="s">
        <v>1553</v>
      </c>
      <c r="B47" s="8" t="s">
        <v>1545</v>
      </c>
      <c r="C47" s="287" t="s">
        <v>1808</v>
      </c>
    </row>
    <row r="48" spans="1:3" ht="25.5">
      <c r="A48" s="2" t="s">
        <v>1553</v>
      </c>
      <c r="B48" s="8" t="s">
        <v>1546</v>
      </c>
      <c r="C48" s="287" t="s">
        <v>1808</v>
      </c>
    </row>
    <row r="49" spans="1:3" ht="12.75">
      <c r="A49" s="2" t="s">
        <v>1553</v>
      </c>
      <c r="B49" s="8" t="s">
        <v>1547</v>
      </c>
      <c r="C49" s="287" t="s">
        <v>1808</v>
      </c>
    </row>
    <row r="50" spans="1:3" ht="27.75" customHeight="1">
      <c r="A50" s="2" t="s">
        <v>1553</v>
      </c>
      <c r="B50" s="8" t="s">
        <v>1548</v>
      </c>
      <c r="C50" s="287" t="s">
        <v>1808</v>
      </c>
    </row>
    <row r="51" spans="1:3" ht="24.75" customHeight="1">
      <c r="A51" s="2" t="s">
        <v>1553</v>
      </c>
      <c r="B51" s="8" t="s">
        <v>1549</v>
      </c>
      <c r="C51" s="287" t="s">
        <v>1808</v>
      </c>
    </row>
    <row r="52" spans="1:3" ht="12.75">
      <c r="A52" s="2" t="s">
        <v>1553</v>
      </c>
      <c r="B52" s="8" t="s">
        <v>1550</v>
      </c>
      <c r="C52" s="287" t="s">
        <v>1808</v>
      </c>
    </row>
    <row r="53" spans="1:3" ht="12.75">
      <c r="A53" s="2" t="s">
        <v>1553</v>
      </c>
      <c r="B53" s="8" t="s">
        <v>1551</v>
      </c>
      <c r="C53" s="287"/>
    </row>
    <row r="54" spans="1:4" ht="15.75" customHeight="1">
      <c r="A54" s="2" t="s">
        <v>1553</v>
      </c>
      <c r="B54" s="115" t="s">
        <v>1552</v>
      </c>
      <c r="C54" s="292"/>
      <c r="D54" s="31"/>
    </row>
    <row r="55" spans="1:3" ht="12.75">
      <c r="A55" s="2"/>
      <c r="B55" s="518"/>
      <c r="C55" s="530"/>
    </row>
  </sheetData>
  <sheetProtection/>
  <mergeCells count="24">
    <mergeCell ref="B6:D6"/>
    <mergeCell ref="B8:D8"/>
    <mergeCell ref="B7:D7"/>
    <mergeCell ref="B4:F4"/>
    <mergeCell ref="F41:G41"/>
    <mergeCell ref="F42:G42"/>
    <mergeCell ref="C39:D39"/>
    <mergeCell ref="B38:F38"/>
    <mergeCell ref="F39:G39"/>
    <mergeCell ref="A1:G1"/>
    <mergeCell ref="B15:F15"/>
    <mergeCell ref="B9:D9"/>
    <mergeCell ref="A2:F2"/>
    <mergeCell ref="B5:D5"/>
    <mergeCell ref="B44:F44"/>
    <mergeCell ref="B55:C55"/>
    <mergeCell ref="B10:D10"/>
    <mergeCell ref="B11:D11"/>
    <mergeCell ref="B12:D12"/>
    <mergeCell ref="B13:D13"/>
    <mergeCell ref="C40:D40"/>
    <mergeCell ref="C41:D41"/>
    <mergeCell ref="C42:D42"/>
    <mergeCell ref="F40:G40"/>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CollegeToolkit.com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Henry, Daina P</cp:lastModifiedBy>
  <cp:lastPrinted>2008-04-14T17:00:48Z</cp:lastPrinted>
  <dcterms:created xsi:type="dcterms:W3CDTF">2001-06-11T17:38:48Z</dcterms:created>
  <dcterms:modified xsi:type="dcterms:W3CDTF">2008-08-05T13:38:37Z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